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ie\Desktop\"/>
    </mc:Choice>
  </mc:AlternateContent>
  <bookViews>
    <workbookView xWindow="0" yWindow="0" windowWidth="20490" windowHeight="8820" activeTab="3"/>
  </bookViews>
  <sheets>
    <sheet name="PRODUCTO" sheetId="1" r:id="rId1"/>
    <sheet name="INVERSIONES " sheetId="18" r:id="rId2"/>
    <sheet name="GASTOS " sheetId="6" r:id="rId3"/>
    <sheet name="ESTADOS FINANCIEROS " sheetId="20" r:id="rId4"/>
    <sheet name="EVALUACION " sheetId="21" r:id="rId5"/>
    <sheet name="RAZONES FINANCIERAS" sheetId="2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20" l="1"/>
  <c r="I68" i="20"/>
  <c r="H68" i="20"/>
  <c r="G68" i="20"/>
  <c r="F68" i="20"/>
  <c r="E68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L40" i="18"/>
  <c r="K40" i="18"/>
  <c r="K36" i="18"/>
  <c r="E30" i="18"/>
  <c r="D37" i="20" l="1"/>
  <c r="I128" i="20" l="1"/>
  <c r="I118" i="20"/>
  <c r="I117" i="20"/>
  <c r="I111" i="20"/>
  <c r="I112" i="20"/>
  <c r="I110" i="20"/>
  <c r="I106" i="20"/>
  <c r="I107" i="20"/>
  <c r="J9" i="20"/>
  <c r="J10" i="20"/>
  <c r="J12" i="20"/>
  <c r="J13" i="20"/>
  <c r="J14" i="20"/>
  <c r="J16" i="20"/>
  <c r="J8" i="20"/>
  <c r="I9" i="20"/>
  <c r="I10" i="20"/>
  <c r="I12" i="20"/>
  <c r="I13" i="20"/>
  <c r="I14" i="20"/>
  <c r="I15" i="20"/>
  <c r="I16" i="20"/>
  <c r="I8" i="20"/>
  <c r="H11" i="21"/>
  <c r="G24" i="18" l="1"/>
  <c r="F106" i="1"/>
  <c r="G106" i="1"/>
  <c r="H106" i="1"/>
  <c r="I106" i="1"/>
  <c r="J118" i="20" l="1"/>
  <c r="G128" i="20" l="1"/>
  <c r="J128" i="20" s="1"/>
  <c r="H128" i="20"/>
  <c r="K24" i="22" s="1"/>
  <c r="F19" i="18"/>
  <c r="E24" i="22" l="1"/>
  <c r="K43" i="21"/>
  <c r="K52" i="21" s="1"/>
  <c r="D43" i="21"/>
  <c r="D52" i="21" s="1"/>
  <c r="I61" i="20" l="1"/>
  <c r="H61" i="20"/>
  <c r="G61" i="20"/>
  <c r="F61" i="20"/>
  <c r="E61" i="20"/>
  <c r="J73" i="20"/>
  <c r="H90" i="20"/>
  <c r="D48" i="20"/>
  <c r="G97" i="20" s="1"/>
  <c r="D42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J66" i="20"/>
  <c r="H24" i="6"/>
  <c r="H13" i="20" s="1"/>
  <c r="G24" i="6"/>
  <c r="G13" i="20" s="1"/>
  <c r="G15" i="6"/>
  <c r="F15" i="6"/>
  <c r="E15" i="6"/>
  <c r="D15" i="6"/>
  <c r="C15" i="6"/>
  <c r="N7" i="6"/>
  <c r="M7" i="6"/>
  <c r="L7" i="6"/>
  <c r="K7" i="6"/>
  <c r="J7" i="6"/>
  <c r="I7" i="6"/>
  <c r="H7" i="6"/>
  <c r="G7" i="6"/>
  <c r="F7" i="6"/>
  <c r="E7" i="6"/>
  <c r="D7" i="6"/>
  <c r="C7" i="6"/>
  <c r="J140" i="1"/>
  <c r="E147" i="1"/>
  <c r="J120" i="1"/>
  <c r="L119" i="1"/>
  <c r="G14" i="6" s="1"/>
  <c r="L118" i="1"/>
  <c r="F14" i="6" s="1"/>
  <c r="L117" i="1"/>
  <c r="E14" i="6" s="1"/>
  <c r="L116" i="1"/>
  <c r="D14" i="6" s="1"/>
  <c r="L115" i="1"/>
  <c r="G116" i="1"/>
  <c r="D6" i="6" s="1"/>
  <c r="G117" i="1"/>
  <c r="E6" i="6" s="1"/>
  <c r="G118" i="1"/>
  <c r="F6" i="6" s="1"/>
  <c r="G119" i="1"/>
  <c r="G6" i="6" s="1"/>
  <c r="G120" i="1"/>
  <c r="H6" i="6" s="1"/>
  <c r="G121" i="1"/>
  <c r="I6" i="6" s="1"/>
  <c r="G122" i="1"/>
  <c r="J6" i="6" s="1"/>
  <c r="G123" i="1"/>
  <c r="K6" i="6" s="1"/>
  <c r="G124" i="1"/>
  <c r="L6" i="6" s="1"/>
  <c r="G125" i="1"/>
  <c r="M6" i="6" s="1"/>
  <c r="G126" i="1"/>
  <c r="N6" i="6" s="1"/>
  <c r="G115" i="1"/>
  <c r="C6" i="6" s="1"/>
  <c r="E127" i="1"/>
  <c r="F41" i="18"/>
  <c r="F42" i="18"/>
  <c r="H42" i="18" s="1"/>
  <c r="G69" i="20" s="1"/>
  <c r="F43" i="18"/>
  <c r="H43" i="18" s="1"/>
  <c r="H69" i="20" s="1"/>
  <c r="F44" i="18"/>
  <c r="H44" i="18" s="1"/>
  <c r="I69" i="20" s="1"/>
  <c r="F45" i="18"/>
  <c r="H45" i="18" s="1"/>
  <c r="H122" i="20" s="1"/>
  <c r="I122" i="20" s="1"/>
  <c r="E29" i="18"/>
  <c r="G28" i="18"/>
  <c r="F33" i="18" s="1"/>
  <c r="H33" i="18" s="1"/>
  <c r="I44" i="20" s="1"/>
  <c r="G12" i="18"/>
  <c r="I12" i="18" s="1"/>
  <c r="J12" i="18" s="1"/>
  <c r="G13" i="18"/>
  <c r="I13" i="18" s="1"/>
  <c r="J13" i="18" s="1"/>
  <c r="G14" i="18"/>
  <c r="I14" i="18" s="1"/>
  <c r="J14" i="18" s="1"/>
  <c r="G15" i="18"/>
  <c r="I15" i="18" s="1"/>
  <c r="J15" i="18" s="1"/>
  <c r="G16" i="18"/>
  <c r="I16" i="18" s="1"/>
  <c r="J16" i="18" s="1"/>
  <c r="G17" i="18"/>
  <c r="I17" i="18" s="1"/>
  <c r="J17" i="18" s="1"/>
  <c r="G18" i="18"/>
  <c r="I18" i="18" s="1"/>
  <c r="J18" i="18" s="1"/>
  <c r="G11" i="18"/>
  <c r="I11" i="18" s="1"/>
  <c r="L69" i="1"/>
  <c r="L70" i="1"/>
  <c r="L71" i="1"/>
  <c r="L72" i="1"/>
  <c r="L68" i="1"/>
  <c r="J69" i="1"/>
  <c r="J70" i="1"/>
  <c r="J71" i="1"/>
  <c r="J72" i="1"/>
  <c r="J68" i="1"/>
  <c r="H69" i="1"/>
  <c r="H70" i="1"/>
  <c r="H71" i="1"/>
  <c r="H72" i="1"/>
  <c r="H68" i="1"/>
  <c r="F69" i="1"/>
  <c r="F70" i="1"/>
  <c r="F71" i="1"/>
  <c r="F72" i="1"/>
  <c r="F68" i="1"/>
  <c r="D69" i="1"/>
  <c r="D70" i="1"/>
  <c r="D71" i="1"/>
  <c r="D72" i="1"/>
  <c r="D68" i="1"/>
  <c r="L62" i="1"/>
  <c r="L52" i="1"/>
  <c r="L53" i="1"/>
  <c r="L54" i="1"/>
  <c r="L55" i="1"/>
  <c r="L56" i="1"/>
  <c r="L57" i="1"/>
  <c r="L58" i="1"/>
  <c r="L59" i="1"/>
  <c r="L60" i="1"/>
  <c r="L61" i="1"/>
  <c r="L51" i="1"/>
  <c r="J62" i="1"/>
  <c r="J52" i="1"/>
  <c r="J53" i="1"/>
  <c r="J54" i="1"/>
  <c r="J55" i="1"/>
  <c r="J56" i="1"/>
  <c r="J57" i="1"/>
  <c r="J58" i="1"/>
  <c r="J59" i="1"/>
  <c r="J60" i="1"/>
  <c r="J61" i="1"/>
  <c r="J51" i="1"/>
  <c r="H52" i="1"/>
  <c r="H53" i="1"/>
  <c r="H54" i="1"/>
  <c r="H55" i="1"/>
  <c r="H56" i="1"/>
  <c r="H57" i="1"/>
  <c r="H58" i="1"/>
  <c r="H59" i="1"/>
  <c r="H60" i="1"/>
  <c r="H61" i="1"/>
  <c r="H62" i="1"/>
  <c r="H51" i="1"/>
  <c r="F52" i="1"/>
  <c r="F53" i="1"/>
  <c r="F54" i="1"/>
  <c r="F55" i="1"/>
  <c r="F56" i="1"/>
  <c r="F57" i="1"/>
  <c r="F58" i="1"/>
  <c r="F59" i="1"/>
  <c r="F60" i="1"/>
  <c r="F61" i="1"/>
  <c r="F62" i="1"/>
  <c r="F51" i="1"/>
  <c r="D52" i="1"/>
  <c r="D53" i="1"/>
  <c r="D54" i="1"/>
  <c r="D55" i="1"/>
  <c r="D56" i="1"/>
  <c r="D57" i="1"/>
  <c r="D58" i="1"/>
  <c r="D59" i="1"/>
  <c r="D60" i="1"/>
  <c r="D61" i="1"/>
  <c r="D62" i="1"/>
  <c r="D51" i="1"/>
  <c r="M51" i="1" s="1"/>
  <c r="E81" i="1" s="1"/>
  <c r="C5" i="6" s="1"/>
  <c r="K66" i="1"/>
  <c r="I66" i="1"/>
  <c r="G66" i="1"/>
  <c r="E66" i="1"/>
  <c r="C66" i="1"/>
  <c r="K73" i="1"/>
  <c r="I73" i="1"/>
  <c r="G73" i="1"/>
  <c r="E73" i="1"/>
  <c r="C73" i="1"/>
  <c r="K49" i="1"/>
  <c r="I49" i="1"/>
  <c r="G49" i="1"/>
  <c r="E49" i="1"/>
  <c r="C49" i="1"/>
  <c r="E63" i="1"/>
  <c r="G63" i="1"/>
  <c r="I63" i="1"/>
  <c r="K63" i="1"/>
  <c r="C63" i="1"/>
  <c r="H155" i="1"/>
  <c r="I155" i="1" s="1"/>
  <c r="E195" i="1" s="1"/>
  <c r="H156" i="1"/>
  <c r="I156" i="1" s="1"/>
  <c r="E196" i="1" s="1"/>
  <c r="H157" i="1"/>
  <c r="H158" i="1"/>
  <c r="I158" i="1" s="1"/>
  <c r="E198" i="1" s="1"/>
  <c r="F198" i="1" s="1"/>
  <c r="H154" i="1"/>
  <c r="I154" i="1" s="1"/>
  <c r="E194" i="1" s="1"/>
  <c r="D155" i="1"/>
  <c r="E155" i="1" s="1"/>
  <c r="E175" i="1" s="1"/>
  <c r="D156" i="1"/>
  <c r="E156" i="1" s="1"/>
  <c r="E176" i="1" s="1"/>
  <c r="G177" i="1" s="1"/>
  <c r="D157" i="1"/>
  <c r="E157" i="1" s="1"/>
  <c r="E177" i="1" s="1"/>
  <c r="D158" i="1"/>
  <c r="E158" i="1" s="1"/>
  <c r="E178" i="1" s="1"/>
  <c r="D159" i="1"/>
  <c r="E159" i="1" s="1"/>
  <c r="E179" i="1" s="1"/>
  <c r="D160" i="1"/>
  <c r="E160" i="1" s="1"/>
  <c r="E180" i="1" s="1"/>
  <c r="G181" i="1" s="1"/>
  <c r="D161" i="1"/>
  <c r="D162" i="1"/>
  <c r="E162" i="1" s="1"/>
  <c r="E182" i="1" s="1"/>
  <c r="D163" i="1"/>
  <c r="E163" i="1" s="1"/>
  <c r="E183" i="1" s="1"/>
  <c r="D164" i="1"/>
  <c r="E164" i="1" s="1"/>
  <c r="E184" i="1" s="1"/>
  <c r="I195" i="1" s="1"/>
  <c r="D165" i="1"/>
  <c r="E165" i="1" s="1"/>
  <c r="E185" i="1" s="1"/>
  <c r="D154" i="1"/>
  <c r="E154" i="1" s="1"/>
  <c r="E174" i="1" s="1"/>
  <c r="H37" i="1"/>
  <c r="D44" i="1"/>
  <c r="E161" i="1"/>
  <c r="E181" i="1" s="1"/>
  <c r="E25" i="1"/>
  <c r="F31" i="18" l="1"/>
  <c r="H31" i="18" s="1"/>
  <c r="G44" i="20" s="1"/>
  <c r="F38" i="18"/>
  <c r="F30" i="18"/>
  <c r="H30" i="18" s="1"/>
  <c r="F44" i="20" s="1"/>
  <c r="F37" i="18"/>
  <c r="F29" i="18"/>
  <c r="F34" i="18"/>
  <c r="D35" i="20"/>
  <c r="F40" i="18"/>
  <c r="F36" i="18"/>
  <c r="F32" i="18"/>
  <c r="H32" i="18" s="1"/>
  <c r="H44" i="20" s="1"/>
  <c r="F39" i="18"/>
  <c r="F35" i="18"/>
  <c r="P48" i="20"/>
  <c r="F60" i="20"/>
  <c r="H35" i="20"/>
  <c r="L35" i="20"/>
  <c r="E35" i="20"/>
  <c r="I35" i="20"/>
  <c r="M35" i="20"/>
  <c r="G60" i="20"/>
  <c r="C14" i="6"/>
  <c r="E60" i="20"/>
  <c r="F35" i="20"/>
  <c r="J35" i="20"/>
  <c r="N35" i="20"/>
  <c r="H60" i="20"/>
  <c r="G35" i="20"/>
  <c r="K35" i="20"/>
  <c r="O35" i="20"/>
  <c r="I60" i="20"/>
  <c r="G91" i="20"/>
  <c r="D44" i="20"/>
  <c r="H29" i="18"/>
  <c r="E44" i="20" s="1"/>
  <c r="H41" i="18"/>
  <c r="H123" i="20" s="1"/>
  <c r="L123" i="20" s="1"/>
  <c r="D29" i="18"/>
  <c r="G29" i="18" s="1"/>
  <c r="P36" i="20"/>
  <c r="G85" i="20" s="1"/>
  <c r="J61" i="20"/>
  <c r="H85" i="20" s="1"/>
  <c r="P42" i="20"/>
  <c r="G127" i="1"/>
  <c r="L120" i="1"/>
  <c r="M60" i="1"/>
  <c r="E90" i="1" s="1"/>
  <c r="I101" i="1" s="1"/>
  <c r="M56" i="1"/>
  <c r="E86" i="1" s="1"/>
  <c r="H5" i="6" s="1"/>
  <c r="M52" i="1"/>
  <c r="E82" i="1" s="1"/>
  <c r="G83" i="1" s="1"/>
  <c r="I194" i="1"/>
  <c r="H185" i="1"/>
  <c r="G184" i="1"/>
  <c r="F183" i="1"/>
  <c r="G180" i="1"/>
  <c r="I182" i="1"/>
  <c r="H181" i="1"/>
  <c r="F179" i="1"/>
  <c r="I178" i="1"/>
  <c r="H177" i="1"/>
  <c r="G176" i="1"/>
  <c r="F175" i="1"/>
  <c r="F196" i="1"/>
  <c r="H198" i="1"/>
  <c r="G197" i="1"/>
  <c r="I177" i="1"/>
  <c r="G175" i="1"/>
  <c r="F174" i="1"/>
  <c r="J174" i="1" s="1"/>
  <c r="D31" i="20" s="1"/>
  <c r="H176" i="1"/>
  <c r="I185" i="1"/>
  <c r="H184" i="1"/>
  <c r="F182" i="1"/>
  <c r="G183" i="1"/>
  <c r="I181" i="1"/>
  <c r="H180" i="1"/>
  <c r="F178" i="1"/>
  <c r="G179" i="1"/>
  <c r="G195" i="1"/>
  <c r="F194" i="1"/>
  <c r="I197" i="1"/>
  <c r="H196" i="1"/>
  <c r="H197" i="1"/>
  <c r="I198" i="1"/>
  <c r="G196" i="1"/>
  <c r="F195" i="1"/>
  <c r="F181" i="1"/>
  <c r="J181" i="1" s="1"/>
  <c r="K31" i="20" s="1"/>
  <c r="I184" i="1"/>
  <c r="H183" i="1"/>
  <c r="G182" i="1"/>
  <c r="F185" i="1"/>
  <c r="I196" i="1"/>
  <c r="G194" i="1"/>
  <c r="H195" i="1"/>
  <c r="F177" i="1"/>
  <c r="H179" i="1"/>
  <c r="G178" i="1"/>
  <c r="I180" i="1"/>
  <c r="H182" i="1"/>
  <c r="H178" i="1"/>
  <c r="I183" i="1"/>
  <c r="I179" i="1"/>
  <c r="D5" i="6"/>
  <c r="F184" i="1"/>
  <c r="F176" i="1"/>
  <c r="F180" i="1"/>
  <c r="G185" i="1"/>
  <c r="H194" i="1"/>
  <c r="I19" i="18"/>
  <c r="G19" i="18"/>
  <c r="J11" i="18"/>
  <c r="J19" i="18" s="1"/>
  <c r="E186" i="1"/>
  <c r="I84" i="1"/>
  <c r="G82" i="1"/>
  <c r="F81" i="1"/>
  <c r="J81" i="1" s="1"/>
  <c r="D33" i="20" s="1"/>
  <c r="H83" i="1"/>
  <c r="M59" i="1"/>
  <c r="E89" i="1" s="1"/>
  <c r="M55" i="1"/>
  <c r="E85" i="1" s="1"/>
  <c r="G5" i="6" s="1"/>
  <c r="M62" i="1"/>
  <c r="E92" i="1" s="1"/>
  <c r="N5" i="6" s="1"/>
  <c r="M61" i="1"/>
  <c r="E91" i="1" s="1"/>
  <c r="M5" i="6" s="1"/>
  <c r="M57" i="1"/>
  <c r="E87" i="1" s="1"/>
  <c r="I5" i="6" s="1"/>
  <c r="M53" i="1"/>
  <c r="E83" i="1" s="1"/>
  <c r="E5" i="6" s="1"/>
  <c r="M68" i="1"/>
  <c r="E101" i="1" s="1"/>
  <c r="M69" i="1"/>
  <c r="E102" i="1" s="1"/>
  <c r="D13" i="6" s="1"/>
  <c r="M71" i="1"/>
  <c r="E104" i="1" s="1"/>
  <c r="F13" i="6" s="1"/>
  <c r="M58" i="1"/>
  <c r="E88" i="1" s="1"/>
  <c r="J5" i="6" s="1"/>
  <c r="M54" i="1"/>
  <c r="M72" i="1"/>
  <c r="E105" i="1" s="1"/>
  <c r="G13" i="6" s="1"/>
  <c r="M70" i="1"/>
  <c r="E103" i="1" s="1"/>
  <c r="E13" i="6" s="1"/>
  <c r="L73" i="1"/>
  <c r="J73" i="1"/>
  <c r="H73" i="1"/>
  <c r="F73" i="1"/>
  <c r="D73" i="1"/>
  <c r="L63" i="1"/>
  <c r="J63" i="1"/>
  <c r="H63" i="1"/>
  <c r="F63" i="1"/>
  <c r="D63" i="1"/>
  <c r="H159" i="1"/>
  <c r="I157" i="1"/>
  <c r="D166" i="1"/>
  <c r="E166" i="1"/>
  <c r="G8" i="20" s="1"/>
  <c r="L36" i="18" l="1"/>
  <c r="J122" i="20"/>
  <c r="L122" i="20"/>
  <c r="J60" i="20"/>
  <c r="I85" i="1"/>
  <c r="K8" i="20"/>
  <c r="J184" i="1"/>
  <c r="N31" i="20" s="1"/>
  <c r="H13" i="21"/>
  <c r="H16" i="21" s="1"/>
  <c r="D41" i="20"/>
  <c r="G110" i="20"/>
  <c r="D16" i="6"/>
  <c r="C16" i="6"/>
  <c r="G8" i="6"/>
  <c r="K8" i="6"/>
  <c r="C8" i="6"/>
  <c r="E16" i="6"/>
  <c r="D8" i="6"/>
  <c r="H8" i="6"/>
  <c r="L8" i="6"/>
  <c r="F16" i="6"/>
  <c r="E8" i="6"/>
  <c r="I8" i="6"/>
  <c r="M8" i="6"/>
  <c r="G16" i="6"/>
  <c r="F8" i="6"/>
  <c r="J8" i="6"/>
  <c r="N8" i="6"/>
  <c r="P35" i="20"/>
  <c r="G84" i="20" s="1"/>
  <c r="H92" i="1"/>
  <c r="J177" i="1"/>
  <c r="G31" i="20" s="1"/>
  <c r="G91" i="1"/>
  <c r="D39" i="20"/>
  <c r="J183" i="1"/>
  <c r="M31" i="20" s="1"/>
  <c r="J176" i="1"/>
  <c r="F31" i="20" s="1"/>
  <c r="J185" i="1"/>
  <c r="O31" i="20" s="1"/>
  <c r="J179" i="1"/>
  <c r="I31" i="20" s="1"/>
  <c r="J180" i="1"/>
  <c r="J31" i="20" s="1"/>
  <c r="J195" i="1"/>
  <c r="F56" i="20" s="1"/>
  <c r="J194" i="1"/>
  <c r="E56" i="20" s="1"/>
  <c r="J196" i="1"/>
  <c r="G56" i="20" s="1"/>
  <c r="E42" i="22"/>
  <c r="E38" i="22"/>
  <c r="E27" i="22"/>
  <c r="J175" i="1"/>
  <c r="E31" i="20" s="1"/>
  <c r="J178" i="1"/>
  <c r="H31" i="20" s="1"/>
  <c r="J182" i="1"/>
  <c r="L31" i="20" s="1"/>
  <c r="F69" i="20"/>
  <c r="D67" i="20"/>
  <c r="H84" i="20"/>
  <c r="L5" i="6"/>
  <c r="F90" i="1"/>
  <c r="I104" i="1"/>
  <c r="C13" i="6"/>
  <c r="G87" i="1"/>
  <c r="F86" i="1"/>
  <c r="I89" i="1"/>
  <c r="F82" i="1"/>
  <c r="J82" i="1" s="1"/>
  <c r="E33" i="20" s="1"/>
  <c r="E37" i="20" s="1"/>
  <c r="H84" i="1"/>
  <c r="H88" i="1"/>
  <c r="I199" i="1"/>
  <c r="I159" i="1"/>
  <c r="H8" i="20" s="1"/>
  <c r="L8" i="20" s="1"/>
  <c r="E197" i="1"/>
  <c r="I92" i="1"/>
  <c r="K5" i="6"/>
  <c r="I186" i="1"/>
  <c r="H186" i="1"/>
  <c r="H199" i="1"/>
  <c r="F186" i="1"/>
  <c r="G186" i="1"/>
  <c r="G104" i="1"/>
  <c r="H105" i="1"/>
  <c r="F103" i="1"/>
  <c r="G103" i="1"/>
  <c r="H104" i="1"/>
  <c r="F102" i="1"/>
  <c r="F92" i="1"/>
  <c r="H102" i="1"/>
  <c r="I103" i="1"/>
  <c r="G101" i="1"/>
  <c r="I105" i="1"/>
  <c r="G102" i="1"/>
  <c r="H103" i="1"/>
  <c r="F101" i="1"/>
  <c r="E106" i="1"/>
  <c r="G105" i="1"/>
  <c r="F104" i="1"/>
  <c r="F105" i="1"/>
  <c r="H101" i="1"/>
  <c r="I102" i="1"/>
  <c r="G92" i="1"/>
  <c r="G88" i="1"/>
  <c r="I90" i="1"/>
  <c r="H89" i="1"/>
  <c r="F87" i="1"/>
  <c r="F88" i="1"/>
  <c r="G89" i="1"/>
  <c r="I91" i="1"/>
  <c r="H90" i="1"/>
  <c r="F91" i="1"/>
  <c r="H87" i="1"/>
  <c r="F85" i="1"/>
  <c r="G86" i="1"/>
  <c r="I88" i="1"/>
  <c r="G84" i="1"/>
  <c r="I86" i="1"/>
  <c r="H85" i="1"/>
  <c r="F83" i="1"/>
  <c r="J83" i="1" s="1"/>
  <c r="F33" i="20" s="1"/>
  <c r="F37" i="20" s="1"/>
  <c r="M63" i="1"/>
  <c r="E84" i="1"/>
  <c r="F5" i="6" s="1"/>
  <c r="H91" i="1"/>
  <c r="F89" i="1"/>
  <c r="G90" i="1"/>
  <c r="E93" i="1"/>
  <c r="M73" i="1"/>
  <c r="D46" i="20" l="1"/>
  <c r="D50" i="20" s="1"/>
  <c r="J104" i="1"/>
  <c r="H58" i="20" s="1"/>
  <c r="H62" i="20" s="1"/>
  <c r="J105" i="1"/>
  <c r="I58" i="20" s="1"/>
  <c r="I62" i="20" s="1"/>
  <c r="J101" i="1"/>
  <c r="E58" i="20" s="1"/>
  <c r="P41" i="20"/>
  <c r="G90" i="20"/>
  <c r="J89" i="1"/>
  <c r="L33" i="20" s="1"/>
  <c r="L37" i="20" s="1"/>
  <c r="L39" i="20" s="1"/>
  <c r="J91" i="1"/>
  <c r="N33" i="20" s="1"/>
  <c r="N37" i="20" s="1"/>
  <c r="N39" i="20" s="1"/>
  <c r="J88" i="1"/>
  <c r="K33" i="20" s="1"/>
  <c r="K37" i="20" s="1"/>
  <c r="K39" i="20" s="1"/>
  <c r="J92" i="1"/>
  <c r="O33" i="20" s="1"/>
  <c r="O37" i="20" s="1"/>
  <c r="O39" i="20" s="1"/>
  <c r="J103" i="1"/>
  <c r="G58" i="20" s="1"/>
  <c r="G62" i="20" s="1"/>
  <c r="G64" i="20" s="1"/>
  <c r="G71" i="20" s="1"/>
  <c r="F39" i="20"/>
  <c r="F46" i="20" s="1"/>
  <c r="E62" i="20"/>
  <c r="E64" i="20" s="1"/>
  <c r="J102" i="1"/>
  <c r="F58" i="20" s="1"/>
  <c r="F62" i="20" s="1"/>
  <c r="F64" i="20" s="1"/>
  <c r="F71" i="20" s="1"/>
  <c r="J90" i="1"/>
  <c r="M33" i="20" s="1"/>
  <c r="M37" i="20" s="1"/>
  <c r="M39" i="20" s="1"/>
  <c r="K38" i="22"/>
  <c r="K42" i="22"/>
  <c r="K27" i="22"/>
  <c r="E39" i="20"/>
  <c r="P31" i="20"/>
  <c r="I187" i="1"/>
  <c r="J186" i="1"/>
  <c r="E199" i="1"/>
  <c r="G198" i="1"/>
  <c r="F197" i="1"/>
  <c r="D30" i="18"/>
  <c r="G30" i="18" s="1"/>
  <c r="E31" i="18" s="1"/>
  <c r="F84" i="1"/>
  <c r="G85" i="1"/>
  <c r="G93" i="1" s="1"/>
  <c r="I87" i="1"/>
  <c r="I93" i="1" s="1"/>
  <c r="H86" i="1"/>
  <c r="H93" i="1" s="1"/>
  <c r="O6" i="6"/>
  <c r="O7" i="6"/>
  <c r="H14" i="6"/>
  <c r="H15" i="6"/>
  <c r="J85" i="1" l="1"/>
  <c r="H33" i="20" s="1"/>
  <c r="H37" i="20" s="1"/>
  <c r="H39" i="20" s="1"/>
  <c r="H46" i="20" s="1"/>
  <c r="J58" i="20"/>
  <c r="H82" i="20" s="1"/>
  <c r="H86" i="20" s="1"/>
  <c r="J9" i="21" s="1"/>
  <c r="J62" i="20"/>
  <c r="I107" i="1"/>
  <c r="J106" i="1"/>
  <c r="F93" i="1"/>
  <c r="J84" i="1"/>
  <c r="G33" i="20" s="1"/>
  <c r="J86" i="1"/>
  <c r="I33" i="20" s="1"/>
  <c r="I37" i="20" s="1"/>
  <c r="I39" i="20" s="1"/>
  <c r="I46" i="20" s="1"/>
  <c r="J87" i="1"/>
  <c r="J33" i="20" s="1"/>
  <c r="J37" i="20" s="1"/>
  <c r="J39" i="20" s="1"/>
  <c r="E46" i="20"/>
  <c r="E50" i="20" s="1"/>
  <c r="F50" i="20" s="1"/>
  <c r="I188" i="1"/>
  <c r="G106" i="20"/>
  <c r="F199" i="1"/>
  <c r="I200" i="1" s="1"/>
  <c r="J197" i="1"/>
  <c r="H56" i="20" s="1"/>
  <c r="G199" i="1"/>
  <c r="J198" i="1"/>
  <c r="I56" i="20" s="1"/>
  <c r="I64" i="20" s="1"/>
  <c r="I71" i="20" s="1"/>
  <c r="I8" i="21"/>
  <c r="G80" i="20"/>
  <c r="H34" i="18"/>
  <c r="I108" i="1" l="1"/>
  <c r="H117" i="20"/>
  <c r="G37" i="20"/>
  <c r="P33" i="20"/>
  <c r="G82" i="20" s="1"/>
  <c r="G86" i="20" s="1"/>
  <c r="I9" i="21" s="1"/>
  <c r="I10" i="21" s="1"/>
  <c r="I13" i="21" s="1"/>
  <c r="I94" i="1"/>
  <c r="J93" i="1"/>
  <c r="J199" i="1"/>
  <c r="H64" i="20"/>
  <c r="J56" i="20"/>
  <c r="I201" i="1"/>
  <c r="H106" i="20"/>
  <c r="J106" i="20" s="1"/>
  <c r="J44" i="20"/>
  <c r="J46" i="20" s="1"/>
  <c r="D31" i="18"/>
  <c r="G31" i="18" s="1"/>
  <c r="E32" i="18" s="1"/>
  <c r="I95" i="1" l="1"/>
  <c r="G117" i="20"/>
  <c r="G39" i="20"/>
  <c r="P37" i="20"/>
  <c r="G88" i="20"/>
  <c r="H80" i="20"/>
  <c r="H88" i="20" s="1"/>
  <c r="J8" i="21"/>
  <c r="J10" i="21" s="1"/>
  <c r="J13" i="21" s="1"/>
  <c r="H71" i="20"/>
  <c r="J64" i="20"/>
  <c r="H35" i="18"/>
  <c r="J117" i="20" l="1"/>
  <c r="G46" i="20"/>
  <c r="G50" i="20" s="1"/>
  <c r="H50" i="20" s="1"/>
  <c r="I50" i="20" s="1"/>
  <c r="J50" i="20" s="1"/>
  <c r="P39" i="20"/>
  <c r="K44" i="20"/>
  <c r="K46" i="20" s="1"/>
  <c r="D32" i="18"/>
  <c r="G32" i="18" s="1"/>
  <c r="E33" i="18" s="1"/>
  <c r="K50" i="20" l="1"/>
  <c r="D33" i="18"/>
  <c r="G33" i="18" s="1"/>
  <c r="E34" i="18" s="1"/>
  <c r="H36" i="18"/>
  <c r="C22" i="6"/>
  <c r="C21" i="6"/>
  <c r="D21" i="6"/>
  <c r="D22" i="6"/>
  <c r="L44" i="20" l="1"/>
  <c r="L46" i="20" s="1"/>
  <c r="D34" i="18"/>
  <c r="G34" i="18" s="1"/>
  <c r="E35" i="18" s="1"/>
  <c r="H37" i="18"/>
  <c r="M44" i="20" s="1"/>
  <c r="M46" i="20" s="1"/>
  <c r="G15" i="1"/>
  <c r="G16" i="1"/>
  <c r="G17" i="1"/>
  <c r="G18" i="1"/>
  <c r="G14" i="1"/>
  <c r="J9" i="1"/>
  <c r="I9" i="1"/>
  <c r="H9" i="1"/>
  <c r="G9" i="1"/>
  <c r="F9" i="1"/>
  <c r="D25" i="1"/>
  <c r="C25" i="1"/>
  <c r="L23" i="1"/>
  <c r="K23" i="1"/>
  <c r="J23" i="1"/>
  <c r="L24" i="1"/>
  <c r="K24" i="1"/>
  <c r="J24" i="1"/>
  <c r="I24" i="1"/>
  <c r="H24" i="1"/>
  <c r="I23" i="1"/>
  <c r="H23" i="1"/>
  <c r="J8" i="1"/>
  <c r="I8" i="1"/>
  <c r="H8" i="1"/>
  <c r="G8" i="1"/>
  <c r="F8" i="1"/>
  <c r="J7" i="1"/>
  <c r="I7" i="1"/>
  <c r="H7" i="1"/>
  <c r="G7" i="1"/>
  <c r="F7" i="1"/>
  <c r="L50" i="20" l="1"/>
  <c r="M50" i="20" s="1"/>
  <c r="H38" i="18"/>
  <c r="N44" i="20" s="1"/>
  <c r="N46" i="20" s="1"/>
  <c r="D35" i="18"/>
  <c r="G35" i="18" s="1"/>
  <c r="E36" i="18" s="1"/>
  <c r="L25" i="1"/>
  <c r="K25" i="1"/>
  <c r="J25" i="1"/>
  <c r="G19" i="1"/>
  <c r="I25" i="1"/>
  <c r="H25" i="1"/>
  <c r="H16" i="6"/>
  <c r="O8" i="6"/>
  <c r="F25" i="1" l="1"/>
  <c r="N50" i="20"/>
  <c r="D23" i="6"/>
  <c r="C23" i="6"/>
  <c r="D36" i="18"/>
  <c r="G36" i="18" s="1"/>
  <c r="E37" i="18" s="1"/>
  <c r="H39" i="18"/>
  <c r="I34" i="1" l="1"/>
  <c r="E34" i="1"/>
  <c r="E38" i="1"/>
  <c r="E42" i="1"/>
  <c r="I35" i="1"/>
  <c r="E35" i="1"/>
  <c r="E39" i="1"/>
  <c r="E43" i="1"/>
  <c r="I32" i="1"/>
  <c r="E36" i="1"/>
  <c r="E40" i="1"/>
  <c r="E32" i="1"/>
  <c r="I33" i="1"/>
  <c r="E33" i="1"/>
  <c r="E37" i="1"/>
  <c r="E41" i="1"/>
  <c r="G111" i="20"/>
  <c r="G12" i="20"/>
  <c r="H111" i="20"/>
  <c r="H12" i="20"/>
  <c r="O44" i="20"/>
  <c r="O46" i="20" s="1"/>
  <c r="P43" i="20"/>
  <c r="G92" i="20" s="1"/>
  <c r="G93" i="20" s="1"/>
  <c r="G95" i="20" s="1"/>
  <c r="G99" i="20" s="1"/>
  <c r="D37" i="18"/>
  <c r="G37" i="18" s="1"/>
  <c r="E38" i="18" s="1"/>
  <c r="G25" i="1"/>
  <c r="I36" i="1"/>
  <c r="G112" i="20" l="1"/>
  <c r="K111" i="20"/>
  <c r="J111" i="20"/>
  <c r="H14" i="20"/>
  <c r="L12" i="20"/>
  <c r="L13" i="20"/>
  <c r="G14" i="20"/>
  <c r="K13" i="20"/>
  <c r="K12" i="20"/>
  <c r="P44" i="20"/>
  <c r="E44" i="1"/>
  <c r="H40" i="18"/>
  <c r="D38" i="18"/>
  <c r="G38" i="18" s="1"/>
  <c r="E39" i="18" s="1"/>
  <c r="I37" i="1"/>
  <c r="H9" i="20" s="1"/>
  <c r="L9" i="20" s="1"/>
  <c r="L10" i="20" s="1"/>
  <c r="H110" i="20" l="1"/>
  <c r="K112" i="20"/>
  <c r="K110" i="20"/>
  <c r="K14" i="20"/>
  <c r="L14" i="20"/>
  <c r="E69" i="20"/>
  <c r="E71" i="20" s="1"/>
  <c r="G9" i="20"/>
  <c r="G107" i="20"/>
  <c r="O50" i="20"/>
  <c r="D75" i="20" s="1"/>
  <c r="P46" i="20"/>
  <c r="G123" i="20"/>
  <c r="I123" i="20" s="1"/>
  <c r="H10" i="20"/>
  <c r="O5" i="6"/>
  <c r="K123" i="20" l="1"/>
  <c r="J123" i="20"/>
  <c r="K122" i="20"/>
  <c r="L110" i="20"/>
  <c r="J110" i="20"/>
  <c r="H112" i="20"/>
  <c r="J107" i="20"/>
  <c r="K9" i="20"/>
  <c r="K10" i="20" s="1"/>
  <c r="G10" i="20"/>
  <c r="E37" i="22" s="1"/>
  <c r="G40" i="22" s="1"/>
  <c r="E75" i="20"/>
  <c r="F75" i="20" s="1"/>
  <c r="G75" i="20" s="1"/>
  <c r="H75" i="20" s="1"/>
  <c r="I75" i="20" s="1"/>
  <c r="H16" i="20"/>
  <c r="K41" i="22" s="1"/>
  <c r="M44" i="22" s="1"/>
  <c r="K37" i="22"/>
  <c r="M40" i="22" s="1"/>
  <c r="H92" i="20"/>
  <c r="H93" i="20" s="1"/>
  <c r="H95" i="20" s="1"/>
  <c r="H99" i="20" s="1"/>
  <c r="J68" i="20"/>
  <c r="D39" i="18"/>
  <c r="G39" i="18" s="1"/>
  <c r="E40" i="18" s="1"/>
  <c r="H13" i="6"/>
  <c r="H17" i="6" s="1"/>
  <c r="C20" i="6"/>
  <c r="O9" i="6"/>
  <c r="L112" i="20" l="1"/>
  <c r="L111" i="20"/>
  <c r="J112" i="20"/>
  <c r="G16" i="20"/>
  <c r="G18" i="20"/>
  <c r="D44" i="21"/>
  <c r="D45" i="21" s="1"/>
  <c r="J69" i="20"/>
  <c r="D20" i="6"/>
  <c r="C24" i="6"/>
  <c r="K18" i="20" l="1"/>
  <c r="G20" i="20"/>
  <c r="K20" i="20" s="1"/>
  <c r="K23" i="20" s="1"/>
  <c r="E41" i="22"/>
  <c r="G44" i="22" s="1"/>
  <c r="K44" i="21"/>
  <c r="K45" i="21" s="1"/>
  <c r="D46" i="21"/>
  <c r="J71" i="20"/>
  <c r="D40" i="18"/>
  <c r="G40" i="18" s="1"/>
  <c r="E41" i="18" s="1"/>
  <c r="D24" i="6"/>
  <c r="G21" i="20" l="1"/>
  <c r="G119" i="20" s="1"/>
  <c r="E26" i="22"/>
  <c r="G28" i="22" s="1"/>
  <c r="D47" i="21"/>
  <c r="D54" i="21"/>
  <c r="E54" i="21" s="1"/>
  <c r="F54" i="21" s="1"/>
  <c r="G54" i="21" s="1"/>
  <c r="D53" i="21"/>
  <c r="G23" i="20"/>
  <c r="D41" i="18"/>
  <c r="G41" i="18" s="1"/>
  <c r="E42" i="18" s="1"/>
  <c r="G130" i="20" l="1"/>
  <c r="F51" i="21"/>
  <c r="G51" i="21" s="1"/>
  <c r="D48" i="21"/>
  <c r="D23" i="21" s="1"/>
  <c r="D22" i="21"/>
  <c r="E29" i="22"/>
  <c r="E33" i="22"/>
  <c r="D42" i="18"/>
  <c r="G42" i="18" s="1"/>
  <c r="E43" i="18" s="1"/>
  <c r="H129" i="20" l="1"/>
  <c r="I129" i="20" s="1"/>
  <c r="F52" i="21"/>
  <c r="E51" i="21"/>
  <c r="F53" i="21"/>
  <c r="G132" i="20"/>
  <c r="D43" i="18"/>
  <c r="G43" i="18" s="1"/>
  <c r="E44" i="18" s="1"/>
  <c r="K132" i="20" l="1"/>
  <c r="K128" i="20"/>
  <c r="K129" i="20"/>
  <c r="K130" i="20"/>
  <c r="J129" i="20"/>
  <c r="E53" i="21"/>
  <c r="E52" i="21"/>
  <c r="G52" i="21"/>
  <c r="G53" i="21"/>
  <c r="E19" i="22"/>
  <c r="E30" i="22"/>
  <c r="G32" i="22" s="1"/>
  <c r="D44" i="18"/>
  <c r="G44" i="18" s="1"/>
  <c r="E45" i="18" s="1"/>
  <c r="H18" i="20" l="1"/>
  <c r="I18" i="20" s="1"/>
  <c r="J18" i="20" s="1"/>
  <c r="D45" i="18"/>
  <c r="G45" i="18" s="1"/>
  <c r="L18" i="20" l="1"/>
  <c r="K46" i="21"/>
  <c r="K54" i="21" s="1"/>
  <c r="L54" i="21" s="1"/>
  <c r="M54" i="21" s="1"/>
  <c r="N54" i="21" s="1"/>
  <c r="H20" i="20"/>
  <c r="G105" i="20"/>
  <c r="K29" i="22" l="1"/>
  <c r="I20" i="20"/>
  <c r="J20" i="20" s="1"/>
  <c r="K26" i="22"/>
  <c r="M28" i="22" s="1"/>
  <c r="K53" i="21"/>
  <c r="K47" i="21"/>
  <c r="K48" i="21" s="1"/>
  <c r="K23" i="21" s="1"/>
  <c r="G108" i="20"/>
  <c r="K105" i="20" s="1"/>
  <c r="K33" i="22"/>
  <c r="L20" i="20"/>
  <c r="L23" i="20" s="1"/>
  <c r="H21" i="20"/>
  <c r="I21" i="20" s="1"/>
  <c r="J21" i="20" s="1"/>
  <c r="H105" i="20"/>
  <c r="I105" i="20" s="1"/>
  <c r="M51" i="21"/>
  <c r="G120" i="20"/>
  <c r="K22" i="21" l="1"/>
  <c r="H108" i="20"/>
  <c r="J46" i="22" s="1"/>
  <c r="H119" i="20"/>
  <c r="I119" i="20" s="1"/>
  <c r="J105" i="20"/>
  <c r="F46" i="22"/>
  <c r="L118" i="20"/>
  <c r="K120" i="20"/>
  <c r="K118" i="20"/>
  <c r="L117" i="20"/>
  <c r="K117" i="20"/>
  <c r="K119" i="20"/>
  <c r="H23" i="20"/>
  <c r="I23" i="20" s="1"/>
  <c r="J23" i="20" s="1"/>
  <c r="G114" i="20"/>
  <c r="K108" i="20"/>
  <c r="K106" i="20"/>
  <c r="K107" i="20"/>
  <c r="M52" i="21"/>
  <c r="L51" i="21"/>
  <c r="N51" i="21"/>
  <c r="M53" i="21"/>
  <c r="D46" i="22"/>
  <c r="E7" i="22"/>
  <c r="G125" i="20"/>
  <c r="E8" i="22"/>
  <c r="K7" i="22" l="1"/>
  <c r="G49" i="22"/>
  <c r="E12" i="22"/>
  <c r="L105" i="20"/>
  <c r="I108" i="20"/>
  <c r="J108" i="20" s="1"/>
  <c r="H120" i="20"/>
  <c r="I120" i="20" s="1"/>
  <c r="L119" i="20"/>
  <c r="J119" i="20"/>
  <c r="H130" i="20"/>
  <c r="I130" i="20" s="1"/>
  <c r="G134" i="20"/>
  <c r="H114" i="20"/>
  <c r="I114" i="20" s="1"/>
  <c r="J114" i="20" s="1"/>
  <c r="L108" i="20"/>
  <c r="L107" i="20"/>
  <c r="L106" i="20"/>
  <c r="G10" i="22"/>
  <c r="N52" i="21"/>
  <c r="N53" i="21"/>
  <c r="L52" i="21"/>
  <c r="L53" i="21"/>
  <c r="E20" i="22"/>
  <c r="G22" i="22" s="1"/>
  <c r="E34" i="22"/>
  <c r="G36" i="22" s="1"/>
  <c r="E11" i="22"/>
  <c r="G14" i="22" s="1"/>
  <c r="E16" i="22"/>
  <c r="E15" i="22"/>
  <c r="E23" i="22"/>
  <c r="G25" i="22" s="1"/>
  <c r="K16" i="22" l="1"/>
  <c r="K34" i="22"/>
  <c r="M36" i="22" s="1"/>
  <c r="K11" i="22"/>
  <c r="H132" i="20"/>
  <c r="I132" i="20" s="1"/>
  <c r="J130" i="20"/>
  <c r="H125" i="20"/>
  <c r="I125" i="20" s="1"/>
  <c r="L120" i="20"/>
  <c r="L46" i="22"/>
  <c r="M49" i="22" s="1"/>
  <c r="K8" i="22"/>
  <c r="M10" i="22" s="1"/>
  <c r="J120" i="20"/>
  <c r="K20" i="22"/>
  <c r="G18" i="22"/>
  <c r="L132" i="20" l="1"/>
  <c r="L128" i="20"/>
  <c r="J132" i="20"/>
  <c r="L129" i="20"/>
  <c r="K30" i="22"/>
  <c r="M32" i="22" s="1"/>
  <c r="K19" i="22"/>
  <c r="M22" i="22" s="1"/>
  <c r="K12" i="22"/>
  <c r="M14" i="22" s="1"/>
  <c r="K23" i="22"/>
  <c r="M25" i="22" s="1"/>
  <c r="H134" i="20"/>
  <c r="K15" i="22"/>
  <c r="M18" i="22" s="1"/>
  <c r="J125" i="20"/>
  <c r="L130" i="20"/>
  <c r="I134" i="20" l="1"/>
  <c r="J134" i="20" s="1"/>
</calcChain>
</file>

<file path=xl/sharedStrings.xml><?xml version="1.0" encoding="utf-8"?>
<sst xmlns="http://schemas.openxmlformats.org/spreadsheetml/2006/main" count="608" uniqueCount="233">
  <si>
    <t xml:space="preserve">HERRAMIENTA FINANCIERA </t>
  </si>
  <si>
    <t>N°</t>
  </si>
  <si>
    <t xml:space="preserve">PRODUCTO </t>
  </si>
  <si>
    <t xml:space="preserve">UNIDAD DE MEDIDA </t>
  </si>
  <si>
    <t xml:space="preserve">VALOR VENTA </t>
  </si>
  <si>
    <t xml:space="preserve">CANTIDAD DE </t>
  </si>
  <si>
    <t xml:space="preserve">MATERIA PRIMA E INSUMOS </t>
  </si>
  <si>
    <t xml:space="preserve">COSTO UNITARIO </t>
  </si>
  <si>
    <t xml:space="preserve">M.P - INSUMOS </t>
  </si>
  <si>
    <t>PRODUCTO</t>
  </si>
  <si>
    <t xml:space="preserve">PRECIO VENTA </t>
  </si>
  <si>
    <t>COSTO UNITARIO MP</t>
  </si>
  <si>
    <t xml:space="preserve">MARGEN CONTRIBUYENTE </t>
  </si>
  <si>
    <t xml:space="preserve">COSTO DE </t>
  </si>
  <si>
    <t>CANTIDAD TOTAL</t>
  </si>
  <si>
    <t xml:space="preserve">PRODUCCION </t>
  </si>
  <si>
    <t xml:space="preserve">TOTAL </t>
  </si>
  <si>
    <t xml:space="preserve">AÑO 1 </t>
  </si>
  <si>
    <t>AÑO 2</t>
  </si>
  <si>
    <t xml:space="preserve">COMERCIALIZACION </t>
  </si>
  <si>
    <t xml:space="preserve">MES 1 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</si>
  <si>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</si>
  <si>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</si>
  <si>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</si>
  <si>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</si>
  <si>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</si>
  <si>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</si>
  <si>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</si>
  <si>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</si>
  <si>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</si>
  <si>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</si>
  <si>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</si>
  <si>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COMERCIALIZACION AÑO 1 </t>
  </si>
  <si>
    <t>COMERCIALIZACION AÑO 2</t>
  </si>
  <si>
    <t>MES 1</t>
  </si>
  <si>
    <t xml:space="preserve">CANTIDAD </t>
  </si>
  <si>
    <t>TOTAL</t>
  </si>
  <si>
    <t xml:space="preserve">COMPRAS AÑO 1 </t>
  </si>
  <si>
    <t xml:space="preserve">GASTOS DE PRODUCCION </t>
  </si>
  <si>
    <t xml:space="preserve">GASTOS </t>
  </si>
  <si>
    <t xml:space="preserve">MATERIA PRIMA </t>
  </si>
  <si>
    <t xml:space="preserve">MANO DE OBRA </t>
  </si>
  <si>
    <t>CIF</t>
  </si>
  <si>
    <t xml:space="preserve">GASTOS AÑO 1  </t>
  </si>
  <si>
    <t xml:space="preserve">GASTOS AÑO 2 </t>
  </si>
  <si>
    <t xml:space="preserve">CONCEPTO </t>
  </si>
  <si>
    <t xml:space="preserve">CONTADO </t>
  </si>
  <si>
    <t>COMPRAS  AÑO 1</t>
  </si>
  <si>
    <t xml:space="preserve">INVERSION </t>
  </si>
  <si>
    <t xml:space="preserve">VALOR </t>
  </si>
  <si>
    <t>VIDA UTIL</t>
  </si>
  <si>
    <t xml:space="preserve">AMORTIZACION </t>
  </si>
  <si>
    <t>CUOTAS</t>
  </si>
  <si>
    <t xml:space="preserve">INTERES ANUAL </t>
  </si>
  <si>
    <t xml:space="preserve">INTERES MENSUAL </t>
  </si>
  <si>
    <t xml:space="preserve">GRACIA DE CAPITAL </t>
  </si>
  <si>
    <t xml:space="preserve">pesos </t>
  </si>
  <si>
    <t xml:space="preserve">meses </t>
  </si>
  <si>
    <t>EA</t>
  </si>
  <si>
    <t>EM</t>
  </si>
  <si>
    <t xml:space="preserve">CUOTAS </t>
  </si>
  <si>
    <t xml:space="preserve">CAPITAL </t>
  </si>
  <si>
    <t xml:space="preserve">INTERES </t>
  </si>
  <si>
    <t xml:space="preserve">CUOTA </t>
  </si>
  <si>
    <t xml:space="preserve">SALDO </t>
  </si>
  <si>
    <t>TOTAL A PAGAR</t>
  </si>
  <si>
    <t>AÑO 1</t>
  </si>
  <si>
    <t xml:space="preserve">INETRESES </t>
  </si>
  <si>
    <t>PAGADO</t>
  </si>
  <si>
    <t xml:space="preserve">ventas </t>
  </si>
  <si>
    <t xml:space="preserve">costo de ventas </t>
  </si>
  <si>
    <t xml:space="preserve">UTILIDAD BRUTA </t>
  </si>
  <si>
    <t xml:space="preserve">gastos de produccion </t>
  </si>
  <si>
    <t xml:space="preserve">gastos de administracion </t>
  </si>
  <si>
    <t xml:space="preserve">GASTOS DE OPERACIÓN </t>
  </si>
  <si>
    <t xml:space="preserve">UTILIDAD DE OPERACIÓN </t>
  </si>
  <si>
    <t>intereses del prestamo</t>
  </si>
  <si>
    <t xml:space="preserve">UTILIDAD NETA </t>
  </si>
  <si>
    <t xml:space="preserve">impueto de las ganancias </t>
  </si>
  <si>
    <t xml:space="preserve">UTILIDAD NETA DESPIUES DE IMPUESTOS </t>
  </si>
  <si>
    <t>ESTADO DE RESULTADOS</t>
  </si>
  <si>
    <t>Equilibrio Unidades</t>
  </si>
  <si>
    <t>Equilibrio en Pesos</t>
  </si>
  <si>
    <t>Precio Promedio</t>
  </si>
  <si>
    <t>Costo Var. Promedio</t>
  </si>
  <si>
    <t>Contribución Marginal</t>
  </si>
  <si>
    <t>Costo Fijo</t>
  </si>
  <si>
    <t>Unidades</t>
  </si>
  <si>
    <t>Ventas</t>
  </si>
  <si>
    <t>Costo Total</t>
  </si>
  <si>
    <t xml:space="preserve">FLUJO EFECTIVO </t>
  </si>
  <si>
    <t xml:space="preserve">mano de obra </t>
  </si>
  <si>
    <t xml:space="preserve">cif </t>
  </si>
  <si>
    <t xml:space="preserve">materia prima </t>
  </si>
  <si>
    <t>INGRESOS</t>
  </si>
  <si>
    <t xml:space="preserve">GASTOS OPERATIVOS </t>
  </si>
  <si>
    <t>DIFERENCIA OPERATIVA</t>
  </si>
  <si>
    <t xml:space="preserve">inversiones </t>
  </si>
  <si>
    <t xml:space="preserve">prestamo </t>
  </si>
  <si>
    <t>devolucion del prestamo</t>
  </si>
  <si>
    <t>FLUJO FINANCIERO</t>
  </si>
  <si>
    <t>DIFERENCIA INGRESOS - GASTOS</t>
  </si>
  <si>
    <t>FLUJO DE EFECTIVO</t>
  </si>
  <si>
    <t>aporte del agricultor</t>
  </si>
  <si>
    <t xml:space="preserve">AÑO 2 </t>
  </si>
  <si>
    <t xml:space="preserve">FLUJO DEL PROYECTO </t>
  </si>
  <si>
    <t>AÑO 0</t>
  </si>
  <si>
    <t>ingresos por ventas</t>
  </si>
  <si>
    <t xml:space="preserve">gastos operativos </t>
  </si>
  <si>
    <t xml:space="preserve">inversion </t>
  </si>
  <si>
    <t xml:space="preserve">TASA INTERNA DE RETORNO </t>
  </si>
  <si>
    <t xml:space="preserve">ACTIVO </t>
  </si>
  <si>
    <t>caja</t>
  </si>
  <si>
    <t xml:space="preserve">materias primas </t>
  </si>
  <si>
    <t xml:space="preserve">ACTIVO CORRIENTE </t>
  </si>
  <si>
    <t xml:space="preserve">amortizacion </t>
  </si>
  <si>
    <t xml:space="preserve">MES </t>
  </si>
  <si>
    <t>ACTIVO NO CORRIENTE</t>
  </si>
  <si>
    <t>TOTAL ACTIVO</t>
  </si>
  <si>
    <t xml:space="preserve">PASIVO </t>
  </si>
  <si>
    <t xml:space="preserve">proveedores </t>
  </si>
  <si>
    <t xml:space="preserve">sueldos </t>
  </si>
  <si>
    <t xml:space="preserve">impuestos </t>
  </si>
  <si>
    <t xml:space="preserve">PASIVO CORRIENTE </t>
  </si>
  <si>
    <t xml:space="preserve">prestamos </t>
  </si>
  <si>
    <t xml:space="preserve">PASIVO NO CORRIENTE </t>
  </si>
  <si>
    <t xml:space="preserve">TOTAL PASIVO </t>
  </si>
  <si>
    <t>PATRIMONIO</t>
  </si>
  <si>
    <t xml:space="preserve">capital </t>
  </si>
  <si>
    <t xml:space="preserve">resultado </t>
  </si>
  <si>
    <t xml:space="preserve">TOTAL PATRIMONIO </t>
  </si>
  <si>
    <t xml:space="preserve">PASIVO + PATRIMONIO </t>
  </si>
  <si>
    <t>BALANCE GENERAL</t>
  </si>
  <si>
    <t xml:space="preserve">UNIDADES </t>
  </si>
  <si>
    <t xml:space="preserve">UCHUVA </t>
  </si>
  <si>
    <t>KILO</t>
  </si>
  <si>
    <t xml:space="preserve">SEMILLA </t>
  </si>
  <si>
    <t>ABONO SENCILLO</t>
  </si>
  <si>
    <t xml:space="preserve">DESINFECTADA </t>
  </si>
  <si>
    <t xml:space="preserve">FUMIGADA </t>
  </si>
  <si>
    <t xml:space="preserve">ABONO CON POTASIO </t>
  </si>
  <si>
    <t>UNIDAD</t>
  </si>
  <si>
    <t>LITRO</t>
  </si>
  <si>
    <t xml:space="preserve">PRODUCCION  AÑO 1 </t>
  </si>
  <si>
    <t>PRODUCCION  AÑO 2</t>
  </si>
  <si>
    <t>MES</t>
  </si>
  <si>
    <t xml:space="preserve">COMPRAS DE MATERIA PRIMA </t>
  </si>
  <si>
    <t>COMPRAS  AÑO 2</t>
  </si>
  <si>
    <t>PAGOS DE LAS COMPRAS</t>
  </si>
  <si>
    <t xml:space="preserve">CREDITO </t>
  </si>
  <si>
    <t xml:space="preserve">PENDIENTE DE PAGO </t>
  </si>
  <si>
    <t xml:space="preserve">PAGOS DE LA COMERCIALIZACION </t>
  </si>
  <si>
    <t xml:space="preserve">PRODUCCION TOTAL </t>
  </si>
  <si>
    <t xml:space="preserve">INVERSION TOTAL DEL AGRICULTOR </t>
  </si>
  <si>
    <t>INVERSION DEL AGRICULTOR EN EFECTIVO</t>
  </si>
  <si>
    <t xml:space="preserve">BOMBA DE ESPALDA </t>
  </si>
  <si>
    <t xml:space="preserve">GUADAÑA </t>
  </si>
  <si>
    <t xml:space="preserve">MOTO BOMBA </t>
  </si>
  <si>
    <t xml:space="preserve">CANASTILLAS </t>
  </si>
  <si>
    <t xml:space="preserve">AZADON </t>
  </si>
  <si>
    <t>CANECAS 200 LITROS</t>
  </si>
  <si>
    <t xml:space="preserve">PALAS </t>
  </si>
  <si>
    <t>POSTAS (estructura para el terreno)</t>
  </si>
  <si>
    <t xml:space="preserve">VALOR UNITARIO </t>
  </si>
  <si>
    <t xml:space="preserve">INVERSIONES EN MAQUINARIA </t>
  </si>
  <si>
    <t xml:space="preserve">MANO DE OBRA DE LA PRODUCCION </t>
  </si>
  <si>
    <t xml:space="preserve">CANTIDAD JORNALES </t>
  </si>
  <si>
    <t xml:space="preserve">VALOR TOTAL </t>
  </si>
  <si>
    <t xml:space="preserve">COSTOS INDIRECTOS DE FABRICACION DE LA PRODUCCION </t>
  </si>
  <si>
    <t>ESTADOS FINANCIEROS</t>
  </si>
  <si>
    <t xml:space="preserve">IMPUESTO DE RENTA </t>
  </si>
  <si>
    <t xml:space="preserve">GASTOS DE ADMNISTRACION </t>
  </si>
  <si>
    <t>SUELDOS DE ADMNISTRACION</t>
  </si>
  <si>
    <t>CARGAS SOCIALES</t>
  </si>
  <si>
    <t xml:space="preserve">SUELDOS COMERCIALES </t>
  </si>
  <si>
    <t xml:space="preserve">VARIOS </t>
  </si>
  <si>
    <t xml:space="preserve">EVALUACION FINANCIERA </t>
  </si>
  <si>
    <t>Razon Circulante</t>
  </si>
  <si>
    <t>Activo Corriente</t>
  </si>
  <si>
    <t>Pasivo Corriente</t>
  </si>
  <si>
    <t>Por Cada peso que se adeuda a Corto Plazo, se cuenta  para cubrir oportunamente la deudas.</t>
  </si>
  <si>
    <t>Solidez</t>
  </si>
  <si>
    <t>Activo Total</t>
  </si>
  <si>
    <t>Pasito Total</t>
  </si>
  <si>
    <t>En este año se Dispone  para cancelar cada peso que se adeuda, una garantia empresarial.</t>
  </si>
  <si>
    <t>Endeudamiento</t>
  </si>
  <si>
    <t>Indice Propiedad</t>
  </si>
  <si>
    <t xml:space="preserve">patrimonio total </t>
  </si>
  <si>
    <t>Pasivo Total</t>
  </si>
  <si>
    <t>Capital Contable</t>
  </si>
  <si>
    <t xml:space="preserve">Margen de utilidad </t>
  </si>
  <si>
    <t>Ingreso neto</t>
  </si>
  <si>
    <t>ventas</t>
  </si>
  <si>
    <t>Roe</t>
  </si>
  <si>
    <t>utilidad neta</t>
  </si>
  <si>
    <t xml:space="preserve">patrimonio neto </t>
  </si>
  <si>
    <t xml:space="preserve">Rendimientos sobre activos </t>
  </si>
  <si>
    <t xml:space="preserve">activos totales </t>
  </si>
  <si>
    <t xml:space="preserve">Margen de utilidad bruta </t>
  </si>
  <si>
    <t xml:space="preserve">ventas netas </t>
  </si>
  <si>
    <t xml:space="preserve">margen de  utilidad operacional </t>
  </si>
  <si>
    <t>utilidad operacional</t>
  </si>
  <si>
    <t>capital de trabajo neto</t>
  </si>
  <si>
    <t>activo corriente</t>
  </si>
  <si>
    <t>pasivo corriente</t>
  </si>
  <si>
    <t>-</t>
  </si>
  <si>
    <t xml:space="preserve">Proteccion de la inversion </t>
  </si>
  <si>
    <t xml:space="preserve">resultado del ejercicio anterior </t>
  </si>
  <si>
    <t>utilidad bruta</t>
  </si>
  <si>
    <r>
      <rPr>
        <b/>
        <sz val="12"/>
        <color theme="1"/>
        <rFont val="Calibri"/>
        <family val="2"/>
        <scheme val="minor"/>
      </rPr>
      <t>OBJETIVO</t>
    </r>
    <r>
      <rPr>
        <sz val="12"/>
        <color theme="1"/>
        <rFont val="Calibri"/>
        <family val="2"/>
        <scheme val="minor"/>
      </rPr>
      <t xml:space="preserve">: permite proyectar la rentabilidad del cutivo de la uchuva en el proceso de produccion y comercializacion. </t>
    </r>
  </si>
  <si>
    <t>VALOR  TOTAL</t>
  </si>
  <si>
    <t xml:space="preserve">RAZONES FINANCIERAS AÑO 1 </t>
  </si>
  <si>
    <t>RAZONES FINANCIERAS AÑO 2</t>
  </si>
  <si>
    <t xml:space="preserve">maquinaria </t>
  </si>
  <si>
    <t xml:space="preserve">clientes </t>
  </si>
  <si>
    <t xml:space="preserve">PRESTAMO BANCARIO </t>
  </si>
  <si>
    <t xml:space="preserve">ANALISIS HORIZONTAL </t>
  </si>
  <si>
    <t xml:space="preserve">VARIACION ABSOLUTA </t>
  </si>
  <si>
    <t>VARIACION RELATIVO</t>
  </si>
  <si>
    <t xml:space="preserve">VARIACION RELATIVA </t>
  </si>
  <si>
    <t>ANALISIS VERTICAL</t>
  </si>
  <si>
    <t>% AÑO 1</t>
  </si>
  <si>
    <t xml:space="preserve">% AÑO 2 </t>
  </si>
  <si>
    <t xml:space="preserve">RAZONES FINANCIERAS </t>
  </si>
  <si>
    <t>indica cuantos pesos de las ventas ganas después de deducidos todos los gastos,</t>
  </si>
  <si>
    <t>mide la proporción de los activos totales financiados con fondos de acreedores</t>
  </si>
  <si>
    <t xml:space="preserve">Mide la independencia finnaciera con la que cuenta el agricultor </t>
  </si>
  <si>
    <t xml:space="preserve">La inversión de los socios </t>
  </si>
  <si>
    <t xml:space="preserve">ndica que los agricultores obtienen ganancia por cada peso del capital de inversión. </t>
  </si>
  <si>
    <t>se mide la ganancia frente al costo de ventas.</t>
  </si>
  <si>
    <t xml:space="preserve">utilidad obtenida de acuerdo a la inversion generada por el agricultor </t>
  </si>
  <si>
    <r>
      <t>ganancia operativa por cada peso en sus ventas del periodo calculado ya deduciendo los gastos administrativos.</t>
    </r>
    <r>
      <rPr>
        <sz val="12"/>
        <color rgb="FF000000"/>
        <rFont val="Calibri"/>
        <family val="2"/>
        <scheme val="minor"/>
      </rPr>
      <t> </t>
    </r>
  </si>
  <si>
    <t xml:space="preserve">capital con el que se encuentra al finalizar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</si>
</sst>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0.00000"/>
    <numFmt numFmtId="167" formatCode="&quot;$&quot;#,##0"/>
    <numFmt numFmtId="168" formatCode="_(&quot;$&quot;* #,##0_);_(&quot;$&quot;* \(#,##0\);_(&quot;$&quot;* &quot;-&quot;_);_(@_)"/>
    <numFmt numFmtId="169" formatCode="#,##0.000"/>
    <numFmt numFmtId="170" formatCode="#,##0.0"/>
    <numFmt numFmtId="171" formatCode="_-[$$-240A]\ * #,##0_-;\-[$$-240A]\ * #,##0_-;_-[$$-2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164" fontId="0" fillId="0" borderId="0" xfId="1" applyNumberFormat="1" applyFont="1" applyBorder="1"/>
    <xf numFmtId="0" fontId="2" fillId="0" borderId="2" xfId="0" applyFont="1" applyFill="1" applyBorder="1"/>
    <xf numFmtId="0" fontId="2" fillId="0" borderId="7" xfId="0" applyFont="1" applyFill="1" applyBorder="1"/>
    <xf numFmtId="0" fontId="9" fillId="0" borderId="0" xfId="0" applyFont="1"/>
    <xf numFmtId="0" fontId="0" fillId="0" borderId="0" xfId="0" applyFont="1"/>
    <xf numFmtId="165" fontId="0" fillId="0" borderId="1" xfId="2" applyNumberFormat="1" applyFont="1" applyFill="1" applyBorder="1"/>
    <xf numFmtId="164" fontId="3" fillId="0" borderId="0" xfId="0" applyNumberFormat="1" applyFont="1"/>
    <xf numFmtId="0" fontId="2" fillId="0" borderId="0" xfId="0" applyFont="1" applyFill="1" applyBorder="1"/>
    <xf numFmtId="164" fontId="0" fillId="0" borderId="0" xfId="0" applyNumberFormat="1"/>
    <xf numFmtId="0" fontId="2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2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2" fillId="0" borderId="4" xfId="0" applyFont="1" applyFill="1" applyBorder="1" applyAlignment="1">
      <alignment horizontal="center"/>
    </xf>
    <xf numFmtId="164" fontId="0" fillId="0" borderId="1" xfId="1" applyNumberFormat="1" applyFont="1" applyFill="1" applyBorder="1"/>
    <xf numFmtId="0" fontId="0" fillId="0" borderId="1" xfId="1" applyNumberFormat="1" applyFont="1" applyFill="1" applyBorder="1"/>
    <xf numFmtId="44" fontId="0" fillId="0" borderId="1" xfId="1" applyFont="1" applyFill="1" applyBorder="1"/>
    <xf numFmtId="164" fontId="0" fillId="0" borderId="0" xfId="1" applyNumberFormat="1" applyFont="1" applyFill="1" applyBorder="1"/>
    <xf numFmtId="164" fontId="2" fillId="0" borderId="1" xfId="1" applyNumberFormat="1" applyFont="1" applyFill="1" applyBorder="1"/>
    <xf numFmtId="164" fontId="0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0" fillId="0" borderId="7" xfId="0" applyFont="1" applyFill="1" applyBorder="1"/>
    <xf numFmtId="0" fontId="0" fillId="0" borderId="5" xfId="0" applyFont="1" applyFill="1" applyBorder="1"/>
    <xf numFmtId="0" fontId="11" fillId="0" borderId="0" xfId="0" applyFont="1" applyFill="1" applyBorder="1"/>
    <xf numFmtId="0" fontId="2" fillId="0" borderId="1" xfId="0" applyFont="1" applyFill="1" applyBorder="1"/>
    <xf numFmtId="0" fontId="0" fillId="0" borderId="8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0" fillId="0" borderId="12" xfId="1" applyNumberFormat="1" applyFont="1" applyFill="1" applyBorder="1"/>
    <xf numFmtId="164" fontId="0" fillId="0" borderId="1" xfId="0" applyNumberFormat="1" applyFont="1" applyFill="1" applyBorder="1"/>
    <xf numFmtId="164" fontId="0" fillId="0" borderId="6" xfId="0" applyNumberFormat="1" applyFont="1" applyFill="1" applyBorder="1"/>
    <xf numFmtId="164" fontId="2" fillId="0" borderId="12" xfId="1" applyNumberFormat="1" applyFont="1" applyFill="1" applyBorder="1"/>
    <xf numFmtId="164" fontId="2" fillId="0" borderId="1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1" applyNumberFormat="1" applyFont="1" applyFill="1" applyBorder="1"/>
    <xf numFmtId="164" fontId="2" fillId="0" borderId="5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44" fontId="0" fillId="0" borderId="0" xfId="1" applyFont="1" applyFill="1" applyBorder="1"/>
    <xf numFmtId="164" fontId="2" fillId="0" borderId="4" xfId="1" applyNumberFormat="1" applyFont="1" applyFill="1" applyBorder="1"/>
    <xf numFmtId="0" fontId="0" fillId="0" borderId="0" xfId="0" applyFont="1" applyFill="1"/>
    <xf numFmtId="0" fontId="0" fillId="0" borderId="10" xfId="0" applyFont="1" applyFill="1" applyBorder="1"/>
    <xf numFmtId="0" fontId="6" fillId="0" borderId="0" xfId="0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164" fontId="0" fillId="0" borderId="10" xfId="1" applyNumberFormat="1" applyFont="1" applyFill="1" applyBorder="1"/>
    <xf numFmtId="0" fontId="2" fillId="0" borderId="10" xfId="0" applyFont="1" applyFill="1" applyBorder="1"/>
    <xf numFmtId="10" fontId="0" fillId="0" borderId="10" xfId="2" applyNumberFormat="1" applyFont="1" applyFill="1" applyBorder="1"/>
    <xf numFmtId="0" fontId="0" fillId="0" borderId="11" xfId="0" applyFont="1" applyFill="1" applyBorder="1"/>
    <xf numFmtId="10" fontId="0" fillId="0" borderId="0" xfId="2" applyNumberFormat="1" applyFont="1" applyFill="1" applyBorder="1"/>
    <xf numFmtId="0" fontId="2" fillId="0" borderId="5" xfId="0" applyFont="1" applyFill="1" applyBorder="1"/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4" fontId="0" fillId="0" borderId="5" xfId="1" applyNumberFormat="1" applyFont="1" applyFill="1" applyBorder="1"/>
    <xf numFmtId="164" fontId="0" fillId="0" borderId="8" xfId="1" applyNumberFormat="1" applyFont="1" applyFill="1" applyBorder="1"/>
    <xf numFmtId="0" fontId="2" fillId="0" borderId="1" xfId="0" applyFont="1" applyFill="1" applyBorder="1" applyAlignment="1">
      <alignment horizontal="center"/>
    </xf>
    <xf numFmtId="164" fontId="0" fillId="0" borderId="5" xfId="0" applyNumberFormat="1" applyFont="1" applyFill="1" applyBorder="1"/>
    <xf numFmtId="0" fontId="2" fillId="0" borderId="6" xfId="0" applyFont="1" applyFill="1" applyBorder="1" applyAlignment="1">
      <alignment horizontal="center" vertical="center"/>
    </xf>
    <xf numFmtId="164" fontId="0" fillId="0" borderId="6" xfId="1" applyNumberFormat="1" applyFont="1" applyFill="1" applyBorder="1"/>
    <xf numFmtId="0" fontId="0" fillId="0" borderId="16" xfId="0" applyFont="1" applyFill="1" applyBorder="1"/>
    <xf numFmtId="164" fontId="0" fillId="0" borderId="15" xfId="1" applyNumberFormat="1" applyFont="1" applyFill="1" applyBorder="1"/>
    <xf numFmtId="164" fontId="0" fillId="0" borderId="17" xfId="1" applyNumberFormat="1" applyFont="1" applyFill="1" applyBorder="1"/>
    <xf numFmtId="164" fontId="2" fillId="0" borderId="6" xfId="1" applyNumberFormat="1" applyFont="1" applyFill="1" applyBorder="1"/>
    <xf numFmtId="164" fontId="2" fillId="0" borderId="8" xfId="1" applyNumberFormat="1" applyFont="1" applyFill="1" applyBorder="1"/>
    <xf numFmtId="9" fontId="2" fillId="0" borderId="0" xfId="0" applyNumberFormat="1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7" xfId="1" applyNumberFormat="1" applyFont="1" applyFill="1" applyBorder="1"/>
    <xf numFmtId="164" fontId="0" fillId="0" borderId="18" xfId="1" applyNumberFormat="1" applyFont="1" applyFill="1" applyBorder="1"/>
    <xf numFmtId="0" fontId="0" fillId="0" borderId="15" xfId="0" applyFont="1" applyFill="1" applyBorder="1"/>
    <xf numFmtId="164" fontId="2" fillId="0" borderId="18" xfId="1" applyNumberFormat="1" applyFont="1" applyFill="1" applyBorder="1"/>
    <xf numFmtId="0" fontId="2" fillId="0" borderId="16" xfId="0" applyFont="1" applyFill="1" applyBorder="1"/>
    <xf numFmtId="164" fontId="2" fillId="0" borderId="15" xfId="1" applyNumberFormat="1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6" xfId="0" applyFill="1" applyBorder="1"/>
    <xf numFmtId="9" fontId="0" fillId="0" borderId="0" xfId="2" applyFont="1" applyFill="1" applyBorder="1"/>
    <xf numFmtId="0" fontId="0" fillId="0" borderId="16" xfId="0" applyFill="1" applyBorder="1"/>
    <xf numFmtId="164" fontId="2" fillId="0" borderId="5" xfId="1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" xfId="0" applyFont="1" applyFill="1" applyBorder="1"/>
    <xf numFmtId="167" fontId="7" fillId="0" borderId="1" xfId="0" applyNumberFormat="1" applyFont="1" applyFill="1" applyBorder="1"/>
    <xf numFmtId="3" fontId="0" fillId="0" borderId="1" xfId="0" applyNumberFormat="1" applyFill="1" applyBorder="1"/>
    <xf numFmtId="167" fontId="0" fillId="0" borderId="1" xfId="0" applyNumberFormat="1" applyFill="1" applyBorder="1"/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0" fontId="0" fillId="0" borderId="7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0" xfId="0" applyFill="1"/>
    <xf numFmtId="9" fontId="2" fillId="0" borderId="0" xfId="2" applyFont="1" applyFill="1" applyBorder="1"/>
    <xf numFmtId="0" fontId="9" fillId="0" borderId="0" xfId="0" applyFont="1" applyFill="1"/>
    <xf numFmtId="168" fontId="9" fillId="0" borderId="15" xfId="0" applyNumberFormat="1" applyFont="1" applyFill="1" applyBorder="1"/>
    <xf numFmtId="169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/>
    <xf numFmtId="0" fontId="9" fillId="0" borderId="2" xfId="0" applyFont="1" applyFill="1" applyBorder="1"/>
    <xf numFmtId="9" fontId="12" fillId="0" borderId="19" xfId="2" applyFont="1" applyFill="1" applyBorder="1" applyAlignment="1">
      <alignment horizontal="center"/>
    </xf>
    <xf numFmtId="0" fontId="9" fillId="0" borderId="7" xfId="0" applyFont="1" applyFill="1" applyBorder="1"/>
    <xf numFmtId="0" fontId="9" fillId="0" borderId="5" xfId="0" applyFont="1" applyFill="1" applyBorder="1"/>
    <xf numFmtId="168" fontId="9" fillId="0" borderId="5" xfId="0" applyNumberFormat="1" applyFont="1" applyFill="1" applyBorder="1"/>
    <xf numFmtId="169" fontId="9" fillId="0" borderId="5" xfId="0" applyNumberFormat="1" applyFont="1" applyFill="1" applyBorder="1" applyAlignment="1">
      <alignment horizontal="center"/>
    </xf>
    <xf numFmtId="171" fontId="12" fillId="0" borderId="20" xfId="1" applyNumberFormat="1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9" xfId="0" applyFont="1" applyFill="1" applyBorder="1"/>
    <xf numFmtId="168" fontId="9" fillId="0" borderId="22" xfId="0" applyNumberFormat="1" applyFont="1" applyFill="1" applyBorder="1"/>
    <xf numFmtId="169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/>
    <xf numFmtId="9" fontId="12" fillId="0" borderId="20" xfId="2" applyFont="1" applyFill="1" applyBorder="1" applyAlignment="1">
      <alignment horizontal="center"/>
    </xf>
    <xf numFmtId="168" fontId="9" fillId="0" borderId="10" xfId="0" applyNumberFormat="1" applyFont="1" applyFill="1" applyBorder="1"/>
    <xf numFmtId="9" fontId="12" fillId="0" borderId="20" xfId="0" applyNumberFormat="1" applyFont="1" applyFill="1" applyBorder="1" applyAlignment="1">
      <alignment horizontal="center"/>
    </xf>
    <xf numFmtId="0" fontId="9" fillId="0" borderId="10" xfId="0" applyFont="1" applyFill="1" applyBorder="1"/>
    <xf numFmtId="170" fontId="12" fillId="0" borderId="2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/>
    <xf numFmtId="164" fontId="0" fillId="0" borderId="2" xfId="0" applyNumberFormat="1" applyFont="1" applyFill="1" applyBorder="1"/>
    <xf numFmtId="0" fontId="0" fillId="0" borderId="17" xfId="0" applyFont="1" applyFill="1" applyBorder="1"/>
    <xf numFmtId="164" fontId="0" fillId="0" borderId="16" xfId="0" applyNumberFormat="1" applyFont="1" applyFill="1" applyBorder="1"/>
    <xf numFmtId="164" fontId="2" fillId="0" borderId="2" xfId="0" applyNumberFormat="1" applyFont="1" applyFill="1" applyBorder="1"/>
    <xf numFmtId="9" fontId="0" fillId="0" borderId="6" xfId="2" applyFont="1" applyFill="1" applyBorder="1"/>
    <xf numFmtId="9" fontId="0" fillId="0" borderId="17" xfId="2" applyFont="1" applyFill="1" applyBorder="1"/>
    <xf numFmtId="164" fontId="0" fillId="0" borderId="23" xfId="0" applyNumberFormat="1" applyFont="1" applyFill="1" applyBorder="1"/>
    <xf numFmtId="0" fontId="0" fillId="0" borderId="9" xfId="0" applyFont="1" applyFill="1" applyBorder="1"/>
    <xf numFmtId="9" fontId="0" fillId="0" borderId="16" xfId="2" applyFont="1" applyFill="1" applyBorder="1"/>
    <xf numFmtId="9" fontId="0" fillId="0" borderId="2" xfId="2" applyFont="1" applyFill="1" applyBorder="1"/>
    <xf numFmtId="9" fontId="0" fillId="0" borderId="15" xfId="2" applyFont="1" applyFill="1" applyBorder="1"/>
    <xf numFmtId="9" fontId="2" fillId="0" borderId="8" xfId="2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9" fontId="2" fillId="0" borderId="6" xfId="2" applyFont="1" applyFill="1" applyBorder="1"/>
    <xf numFmtId="9" fontId="2" fillId="0" borderId="2" xfId="2" applyFont="1" applyFill="1" applyBorder="1"/>
    <xf numFmtId="9" fontId="2" fillId="0" borderId="5" xfId="2" applyFont="1" applyFill="1" applyBorder="1"/>
    <xf numFmtId="9" fontId="1" fillId="0" borderId="6" xfId="2" applyFont="1" applyFill="1" applyBorder="1"/>
    <xf numFmtId="0" fontId="0" fillId="0" borderId="2" xfId="2" applyNumberFormat="1" applyFont="1" applyFill="1" applyBorder="1"/>
    <xf numFmtId="9" fontId="1" fillId="0" borderId="0" xfId="2" applyFont="1" applyFill="1" applyBorder="1"/>
    <xf numFmtId="0" fontId="0" fillId="0" borderId="6" xfId="2" applyNumberFormat="1" applyFont="1" applyFill="1" applyBorder="1"/>
    <xf numFmtId="0" fontId="9" fillId="0" borderId="2" xfId="0" applyFont="1" applyFill="1" applyBorder="1" applyAlignment="1">
      <alignment wrapText="1"/>
    </xf>
    <xf numFmtId="16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169" fontId="9" fillId="0" borderId="0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4" xfId="0" applyFont="1" applyFill="1" applyBorder="1"/>
    <xf numFmtId="168" fontId="9" fillId="0" borderId="25" xfId="0" applyNumberFormat="1" applyFont="1" applyFill="1" applyBorder="1" applyAlignment="1">
      <alignment wrapText="1"/>
    </xf>
    <xf numFmtId="168" fontId="9" fillId="0" borderId="21" xfId="0" applyNumberFormat="1" applyFont="1" applyFill="1" applyBorder="1" applyAlignment="1">
      <alignment wrapText="1"/>
    </xf>
    <xf numFmtId="168" fontId="9" fillId="0" borderId="4" xfId="0" applyNumberFormat="1" applyFont="1" applyFill="1" applyBorder="1" applyAlignment="1">
      <alignment wrapText="1"/>
    </xf>
    <xf numFmtId="170" fontId="12" fillId="0" borderId="26" xfId="0" applyNumberFormat="1" applyFont="1" applyFill="1" applyBorder="1" applyAlignment="1">
      <alignment horizontal="center"/>
    </xf>
    <xf numFmtId="0" fontId="13" fillId="0" borderId="2" xfId="0" applyFont="1" applyBorder="1"/>
    <xf numFmtId="0" fontId="2" fillId="0" borderId="1" xfId="0" applyFont="1" applyFill="1" applyBorder="1" applyAlignment="1">
      <alignment horizontal="center" vertical="center"/>
    </xf>
    <xf numFmtId="164" fontId="0" fillId="0" borderId="3" xfId="0" applyNumberFormat="1" applyFont="1" applyFill="1" applyBorder="1"/>
    <xf numFmtId="164" fontId="0" fillId="0" borderId="21" xfId="0" applyNumberFormat="1" applyFont="1" applyFill="1" applyBorder="1"/>
    <xf numFmtId="164" fontId="2" fillId="0" borderId="21" xfId="0" applyNumberFormat="1" applyFont="1" applyFill="1" applyBorder="1"/>
    <xf numFmtId="164" fontId="2" fillId="0" borderId="4" xfId="0" applyNumberFormat="1" applyFont="1" applyFill="1" applyBorder="1"/>
    <xf numFmtId="164" fontId="0" fillId="0" borderId="27" xfId="0" applyNumberFormat="1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 wrapText="1"/>
    </xf>
    <xf numFmtId="164" fontId="2" fillId="0" borderId="14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PUNTO DE EQUILIBRIO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VENTAS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'EVALUACION '!$D$51:$G$51</c:f>
              <c:numCache>
                <c:formatCode>#,##0</c:formatCode>
                <c:ptCount val="4"/>
                <c:pt idx="0">
                  <c:v>0</c:v>
                </c:pt>
                <c:pt idx="1">
                  <c:v>3310.3610516115332</c:v>
                </c:pt>
                <c:pt idx="2">
                  <c:v>6620.7221032230664</c:v>
                </c:pt>
                <c:pt idx="3">
                  <c:v>9931.0831548345996</c:v>
                </c:pt>
              </c:numCache>
            </c:numRef>
          </c:cat>
          <c:val>
            <c:numRef>
              <c:f>'EVALUACION '!$D$52:$G$52</c:f>
              <c:numCache>
                <c:formatCode>_-"$"* #,##0_-;\-"$"* #,##0_-;_-"$"* "-"??_-;_-@_-</c:formatCode>
                <c:ptCount val="4"/>
                <c:pt idx="0">
                  <c:v>0</c:v>
                </c:pt>
                <c:pt idx="1">
                  <c:v>5769959.3129589027</c:v>
                </c:pt>
                <c:pt idx="2">
                  <c:v>11539918.625917805</c:v>
                </c:pt>
                <c:pt idx="3">
                  <c:v>17309877.938876707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80-4184-9652-1E577845DB4E}"/>
            </c:ext>
          </c:extLst>
        </c:ser>
        <c:ser>
          <c:idx val="2"/>
          <c:order val="1"/>
          <c:tx>
            <c:v>CISTO TOTAL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'EVALUACION '!$D$51:$G$51</c:f>
              <c:numCache>
                <c:formatCode>#,##0</c:formatCode>
                <c:ptCount val="4"/>
                <c:pt idx="0">
                  <c:v>0</c:v>
                </c:pt>
                <c:pt idx="1">
                  <c:v>3310.3610516115332</c:v>
                </c:pt>
                <c:pt idx="2">
                  <c:v>6620.7221032230664</c:v>
                </c:pt>
                <c:pt idx="3">
                  <c:v>9931.0831548345996</c:v>
                </c:pt>
              </c:numCache>
            </c:numRef>
          </c:cat>
          <c:val>
            <c:numRef>
              <c:f>'EVALUACION '!$D$53:$G$53</c:f>
              <c:numCache>
                <c:formatCode>_-"$"* #,##0_-;\-"$"* #,##0_-;_-"$"* "-"??_-;_-@_-</c:formatCode>
                <c:ptCount val="4"/>
                <c:pt idx="0">
                  <c:v>10259805.506584205</c:v>
                </c:pt>
                <c:pt idx="1">
                  <c:v>10899862.066251006</c:v>
                </c:pt>
                <c:pt idx="2">
                  <c:v>11539918.625917805</c:v>
                </c:pt>
                <c:pt idx="3">
                  <c:v>12179975.185584607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80-4184-9652-1E577845DB4E}"/>
            </c:ext>
          </c:extLst>
        </c:ser>
        <c:ser>
          <c:idx val="0"/>
          <c:order val="2"/>
          <c:tx>
            <c:v>COSTO FIJO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'EVALUACION '!$D$51:$G$51</c:f>
              <c:numCache>
                <c:formatCode>#,##0</c:formatCode>
                <c:ptCount val="4"/>
                <c:pt idx="0">
                  <c:v>0</c:v>
                </c:pt>
                <c:pt idx="1">
                  <c:v>3310.3610516115332</c:v>
                </c:pt>
                <c:pt idx="2">
                  <c:v>6620.7221032230664</c:v>
                </c:pt>
                <c:pt idx="3">
                  <c:v>9931.0831548345996</c:v>
                </c:pt>
              </c:numCache>
            </c:numRef>
          </c:cat>
          <c:val>
            <c:numRef>
              <c:f>'EVALUACION '!$D$54:$G$54</c:f>
              <c:numCache>
                <c:formatCode>_-"$"* #,##0_-;\-"$"* #,##0_-;_-"$"* "-"??_-;_-@_-</c:formatCode>
                <c:ptCount val="4"/>
                <c:pt idx="0">
                  <c:v>10259805.506584205</c:v>
                </c:pt>
                <c:pt idx="1">
                  <c:v>10259805.506584205</c:v>
                </c:pt>
                <c:pt idx="2">
                  <c:v>10259805.506584205</c:v>
                </c:pt>
                <c:pt idx="3">
                  <c:v>10259805.506584205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480-4184-9652-1E577845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12408"/>
        <c:axId val="279014760"/>
      </c:lineChart>
      <c:catAx>
        <c:axId val="279012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014760"/>
        <c:crosses val="autoZero"/>
        <c:auto val="1"/>
        <c:lblAlgn val="ctr"/>
        <c:lblOffset val="100"/>
        <c:noMultiLvlLbl val="0"/>
      </c:catAx>
      <c:valAx>
        <c:axId val="27901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0124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PUNTO DE EQUILIBRIO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201181102362205"/>
          <c:y val="0.18300925925925926"/>
          <c:w val="0.71409864391951006"/>
          <c:h val="0.58348557260863132"/>
        </c:manualLayout>
      </c:layout>
      <c:lineChart>
        <c:grouping val="standard"/>
        <c:varyColors val="0"/>
        <c:ser>
          <c:idx val="0"/>
          <c:order val="0"/>
          <c:tx>
            <c:v>VENTAS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'EVALUACION '!$K$51:$N$51</c:f>
              <c:numCache>
                <c:formatCode>#,##0</c:formatCode>
                <c:ptCount val="4"/>
                <c:pt idx="0">
                  <c:v>0</c:v>
                </c:pt>
                <c:pt idx="1">
                  <c:v>1320.8444076501983</c:v>
                </c:pt>
                <c:pt idx="2">
                  <c:v>2641.6888153003965</c:v>
                </c:pt>
                <c:pt idx="3">
                  <c:v>3962.5332229505948</c:v>
                </c:pt>
              </c:numCache>
            </c:numRef>
          </c:cat>
          <c:val>
            <c:numRef>
              <c:f>'EVALUACION '!$K$52:$N$52</c:f>
              <c:numCache>
                <c:formatCode>_-"$"* #,##0_-;\-"$"* #,##0_-;_-"$"* "-"??_-;_-@_-</c:formatCode>
                <c:ptCount val="4"/>
                <c:pt idx="0">
                  <c:v>0</c:v>
                </c:pt>
                <c:pt idx="1">
                  <c:v>2302231.8025342957</c:v>
                </c:pt>
                <c:pt idx="2">
                  <c:v>4604463.6050685914</c:v>
                </c:pt>
                <c:pt idx="3">
                  <c:v>6906695.4076028867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6-4EDF-887A-2CEC65A66D0B}"/>
            </c:ext>
          </c:extLst>
        </c:ser>
        <c:ser>
          <c:idx val="1"/>
          <c:order val="1"/>
          <c:tx>
            <c:v>COSTO TOTAL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'EVALUACION '!$K$51:$N$51</c:f>
              <c:numCache>
                <c:formatCode>#,##0</c:formatCode>
                <c:ptCount val="4"/>
                <c:pt idx="0">
                  <c:v>0</c:v>
                </c:pt>
                <c:pt idx="1">
                  <c:v>1320.8444076501983</c:v>
                </c:pt>
                <c:pt idx="2">
                  <c:v>2641.6888153003965</c:v>
                </c:pt>
                <c:pt idx="3">
                  <c:v>3962.5332229505948</c:v>
                </c:pt>
              </c:numCache>
            </c:numRef>
          </c:cat>
          <c:val>
            <c:numRef>
              <c:f>'EVALUACION '!$K$53:$N$53</c:f>
              <c:numCache>
                <c:formatCode>_-"$"* #,##0_-;\-"$"* #,##0_-;_-"$"* "-"??_-;_-@_-</c:formatCode>
                <c:ptCount val="4"/>
                <c:pt idx="0">
                  <c:v>4517180.555555556</c:v>
                </c:pt>
                <c:pt idx="1">
                  <c:v>4560822.0803120732</c:v>
                </c:pt>
                <c:pt idx="2">
                  <c:v>4604463.6050685905</c:v>
                </c:pt>
                <c:pt idx="3">
                  <c:v>4648105.1298251078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6-4EDF-887A-2CEC65A66D0B}"/>
            </c:ext>
          </c:extLst>
        </c:ser>
        <c:ser>
          <c:idx val="2"/>
          <c:order val="2"/>
          <c:tx>
            <c:v>COSTO FIJO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'EVALUACION '!$K$51:$N$51</c:f>
              <c:numCache>
                <c:formatCode>#,##0</c:formatCode>
                <c:ptCount val="4"/>
                <c:pt idx="0">
                  <c:v>0</c:v>
                </c:pt>
                <c:pt idx="1">
                  <c:v>1320.8444076501983</c:v>
                </c:pt>
                <c:pt idx="2">
                  <c:v>2641.6888153003965</c:v>
                </c:pt>
                <c:pt idx="3">
                  <c:v>3962.5332229505948</c:v>
                </c:pt>
              </c:numCache>
            </c:numRef>
          </c:cat>
          <c:val>
            <c:numRef>
              <c:f>'EVALUACION '!$K$54:$N$54</c:f>
              <c:numCache>
                <c:formatCode>_-"$"* #,##0_-;\-"$"* #,##0_-;_-"$"* "-"??_-;_-@_-</c:formatCode>
                <c:ptCount val="4"/>
                <c:pt idx="0">
                  <c:v>4517180.555555556</c:v>
                </c:pt>
                <c:pt idx="1">
                  <c:v>4517180.555555556</c:v>
                </c:pt>
                <c:pt idx="2">
                  <c:v>4517180.555555556</c:v>
                </c:pt>
                <c:pt idx="3">
                  <c:v>4517180.555555556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96-4EDF-887A-2CEC65A6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08488"/>
        <c:axId val="279013192"/>
      </c:lineChart>
      <c:catAx>
        <c:axId val="279008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013192"/>
        <c:crosses val="autoZero"/>
        <c:auto val="1"/>
        <c:lblAlgn val="ctr"/>
        <c:lblOffset val="100"/>
        <c:noMultiLvlLbl val="0"/>
      </c:catAx>
      <c:valAx>
        <c:axId val="27901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0084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4443788276465435E-2"/>
          <c:y val="0.87700862467033203"/>
          <c:w val="0.7888895450568677"/>
          <c:h val="0.12016364165821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567704</xdr:colOff>
      <xdr:row>23</xdr:row>
      <xdr:rowOff>96139</xdr:rowOff>
    </xdr:from>
    <xdr:to>
      <xdr:col>7</xdr:col>
      <xdr:colOff>10467</xdr:colOff>
      <xdr:row>40</xdr:row>
      <xdr:rowOff>83736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4256C1AD-EBCA-46CC-B2F2-CBCECD9093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759908</xdr:colOff>
      <xdr:row>25</xdr:row>
      <xdr:rowOff>20514</xdr:rowOff>
    </xdr:from>
    <xdr:to>
      <xdr:col>13</xdr:col>
      <xdr:colOff>778748</xdr:colOff>
      <xdr:row>41</xdr:row>
      <xdr:rowOff>31400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395FFA66-09B0-4CD0-834D-B6C10FEFB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04"/>
  <sheetViews>
    <sheetView topLeftCell="C176" zoomScale="82" zoomScaleNormal="82" workbookViewId="0">
      <selection activeCell="H223" sqref="H223"/>
    </sheetView>
  </sheetViews>
  <sheetFormatPr baseColWidth="10" defaultRowHeight="15" x14ac:dyDescent="0.25"/>
  <cols>
    <col min="1" max="1" width="5" style="3" customWidth="1"/>
    <col min="2" max="2" width="10.75" style="83" bestFit="1" customWidth="1"/>
    <col min="3" max="3" width="24.125" style="83" customWidth="1"/>
    <col min="4" max="4" width="27.375" style="83" customWidth="1"/>
    <col min="5" max="5" width="31.375" style="83" customWidth="1"/>
    <col min="6" max="6" width="28" style="83" bestFit="1" customWidth="1"/>
    <col min="7" max="7" width="35.375" style="83" customWidth="1"/>
    <col min="8" max="8" width="22" style="83" bestFit="1" customWidth="1"/>
    <col min="9" max="9" width="23.375" style="83" customWidth="1"/>
    <col min="10" max="10" width="31.375" style="83" customWidth="1"/>
    <col min="11" max="11" width="28.125" style="83" customWidth="1"/>
    <col min="12" max="12" width="29.375" style="83" customWidth="1"/>
    <col min="13" max="13" width="17" style="21" bestFit="1" customWidth="1"/>
    <col min="14" max="14" width="7.375" style="21" customWidth="1"/>
    <col min="15" max="15" width="11.375" style="11"/>
    <col min="16" max="16" width="11.375" style="1"/>
  </cols>
  <sheetData>
    <row r="3" spans="2:17" ht="33" customHeight="1" x14ac:dyDescent="0.25"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</row>
    <row r="4" spans="2:17" s="10" customFormat="1" ht="15" customHeight="1" x14ac:dyDescent="0.25">
      <c r="B4" s="208" t="s">
        <v>209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19"/>
      <c r="N4" s="20"/>
    </row>
    <row r="5" spans="2:17" x14ac:dyDescent="0.25">
      <c r="B5" s="18"/>
      <c r="C5" s="21"/>
      <c r="D5" s="21"/>
      <c r="E5" s="21"/>
      <c r="F5" s="21"/>
      <c r="G5" s="21"/>
      <c r="H5" s="21"/>
      <c r="I5" s="21"/>
      <c r="J5" s="21"/>
      <c r="K5" s="21"/>
      <c r="L5" s="21"/>
      <c r="N5" s="22"/>
    </row>
    <row r="6" spans="2:17" ht="15" customHeight="1" x14ac:dyDescent="0.25">
      <c r="B6" s="23"/>
      <c r="C6" s="24"/>
      <c r="D6" s="24"/>
      <c r="E6" s="24"/>
      <c r="F6" s="210" t="s">
        <v>5</v>
      </c>
      <c r="G6" s="210"/>
      <c r="H6" s="210"/>
      <c r="I6" s="210"/>
      <c r="J6" s="210"/>
      <c r="K6" s="26"/>
      <c r="L6" s="21"/>
      <c r="N6" s="22"/>
    </row>
    <row r="7" spans="2:17" x14ac:dyDescent="0.25">
      <c r="B7" s="212" t="s">
        <v>1</v>
      </c>
      <c r="C7" s="212" t="s">
        <v>2</v>
      </c>
      <c r="D7" s="212" t="s">
        <v>3</v>
      </c>
      <c r="E7" s="212" t="s">
        <v>4</v>
      </c>
      <c r="F7" s="27" t="str">
        <f>+C14</f>
        <v xml:space="preserve">SEMILLA </v>
      </c>
      <c r="G7" s="27" t="str">
        <f>+C15</f>
        <v>ABONO SENCILLO</v>
      </c>
      <c r="H7" s="27" t="str">
        <f>+C16</f>
        <v xml:space="preserve">DESINFECTADA </v>
      </c>
      <c r="I7" s="27" t="str">
        <f>+C17</f>
        <v xml:space="preserve">FUMIGADA </v>
      </c>
      <c r="J7" s="27" t="str">
        <f>+C18</f>
        <v xml:space="preserve">ABONO CON POTASIO </v>
      </c>
      <c r="K7" s="28"/>
      <c r="L7" s="21"/>
      <c r="N7" s="22"/>
    </row>
    <row r="8" spans="2:17" x14ac:dyDescent="0.25">
      <c r="B8" s="213"/>
      <c r="C8" s="213"/>
      <c r="D8" s="213"/>
      <c r="E8" s="213"/>
      <c r="F8" s="27" t="str">
        <f>+D14</f>
        <v>UNIDAD</v>
      </c>
      <c r="G8" s="27" t="str">
        <f>+D15</f>
        <v>KILO</v>
      </c>
      <c r="H8" s="27" t="str">
        <f>+D16</f>
        <v>LITRO</v>
      </c>
      <c r="I8" s="27" t="str">
        <f>+D17</f>
        <v>LITRO</v>
      </c>
      <c r="J8" s="27" t="str">
        <f>+D18</f>
        <v>KILO</v>
      </c>
      <c r="K8" s="28"/>
      <c r="L8" s="21"/>
      <c r="N8" s="22"/>
    </row>
    <row r="9" spans="2:17" x14ac:dyDescent="0.25">
      <c r="B9" s="29">
        <v>1</v>
      </c>
      <c r="C9" s="17" t="s">
        <v>134</v>
      </c>
      <c r="D9" s="17" t="s">
        <v>135</v>
      </c>
      <c r="E9" s="32">
        <v>1743</v>
      </c>
      <c r="F9" s="30">
        <f>+E14/$L$9</f>
        <v>2.9171528588098017E-2</v>
      </c>
      <c r="G9" s="30">
        <f>+E15/$L$9</f>
        <v>0.11668611435239207</v>
      </c>
      <c r="H9" s="30">
        <f>+E16/$L$9</f>
        <v>8.1680280046674447E-4</v>
      </c>
      <c r="I9" s="30">
        <f>+E17/$L$9</f>
        <v>1.6336056009334889E-3</v>
      </c>
      <c r="J9" s="30">
        <f>+E18/$L$9</f>
        <v>5.8343057176196032E-3</v>
      </c>
      <c r="K9" s="5" t="s">
        <v>152</v>
      </c>
      <c r="L9" s="17">
        <v>17140</v>
      </c>
      <c r="N9" s="22"/>
    </row>
    <row r="10" spans="2:17" x14ac:dyDescent="0.25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N10" s="22"/>
    </row>
    <row r="11" spans="2:17" x14ac:dyDescent="0.25">
      <c r="B11" s="18"/>
      <c r="C11" s="21"/>
      <c r="D11" s="21"/>
      <c r="E11" s="21"/>
      <c r="F11" s="21"/>
      <c r="G11" s="21"/>
      <c r="H11" s="21"/>
      <c r="I11" s="21"/>
      <c r="J11" s="21"/>
      <c r="K11" s="21"/>
      <c r="L11" s="21"/>
      <c r="N11" s="22"/>
    </row>
    <row r="12" spans="2:17" ht="15" customHeight="1" x14ac:dyDescent="0.25">
      <c r="B12" s="210" t="s">
        <v>6</v>
      </c>
      <c r="C12" s="210"/>
      <c r="D12" s="210"/>
      <c r="E12" s="210"/>
      <c r="F12" s="210"/>
      <c r="G12" s="210"/>
      <c r="H12" s="21"/>
      <c r="I12" s="21"/>
      <c r="J12" s="21"/>
      <c r="K12" s="21"/>
      <c r="L12" s="21"/>
      <c r="N12" s="22"/>
    </row>
    <row r="13" spans="2:17" x14ac:dyDescent="0.25">
      <c r="B13" s="31" t="s">
        <v>1</v>
      </c>
      <c r="C13" s="31" t="s">
        <v>8</v>
      </c>
      <c r="D13" s="31" t="s">
        <v>3</v>
      </c>
      <c r="E13" s="31" t="s">
        <v>14</v>
      </c>
      <c r="F13" s="31" t="s">
        <v>7</v>
      </c>
      <c r="G13" s="5" t="s">
        <v>16</v>
      </c>
      <c r="H13" s="21"/>
      <c r="I13" s="21"/>
      <c r="J13" s="21"/>
      <c r="K13" s="21"/>
      <c r="L13" s="21"/>
      <c r="N13" s="22"/>
      <c r="Q13" s="1"/>
    </row>
    <row r="14" spans="2:17" x14ac:dyDescent="0.25">
      <c r="B14" s="29">
        <v>1</v>
      </c>
      <c r="C14" s="17" t="s">
        <v>136</v>
      </c>
      <c r="D14" s="32" t="s">
        <v>141</v>
      </c>
      <c r="E14" s="33">
        <v>500</v>
      </c>
      <c r="F14" s="32">
        <v>250</v>
      </c>
      <c r="G14" s="34">
        <f>+E14*F14</f>
        <v>125000</v>
      </c>
      <c r="H14" s="21"/>
      <c r="I14" s="21"/>
      <c r="J14" s="21"/>
      <c r="K14" s="21"/>
      <c r="L14" s="14"/>
      <c r="M14" s="35"/>
      <c r="N14" s="22"/>
      <c r="Q14" s="1"/>
    </row>
    <row r="15" spans="2:17" x14ac:dyDescent="0.25">
      <c r="B15" s="29">
        <v>2</v>
      </c>
      <c r="C15" s="17" t="s">
        <v>137</v>
      </c>
      <c r="D15" s="32" t="s">
        <v>135</v>
      </c>
      <c r="E15" s="33">
        <v>2000</v>
      </c>
      <c r="F15" s="32">
        <v>500</v>
      </c>
      <c r="G15" s="34">
        <f t="shared" ref="G15:G18" si="0">+E15*F15</f>
        <v>1000000</v>
      </c>
      <c r="H15" s="21"/>
      <c r="I15" s="21"/>
      <c r="J15" s="21"/>
      <c r="K15" s="21"/>
      <c r="L15" s="21"/>
      <c r="N15" s="22"/>
      <c r="Q15" s="1"/>
    </row>
    <row r="16" spans="2:17" x14ac:dyDescent="0.25">
      <c r="B16" s="29">
        <v>3</v>
      </c>
      <c r="C16" s="17" t="s">
        <v>138</v>
      </c>
      <c r="D16" s="32" t="s">
        <v>142</v>
      </c>
      <c r="E16" s="33">
        <v>14</v>
      </c>
      <c r="F16" s="32">
        <v>25667</v>
      </c>
      <c r="G16" s="34">
        <f t="shared" si="0"/>
        <v>359338</v>
      </c>
      <c r="H16" s="21"/>
      <c r="I16" s="21"/>
      <c r="J16" s="21"/>
      <c r="K16" s="21"/>
      <c r="L16" s="21"/>
      <c r="N16" s="22"/>
      <c r="Q16" s="1"/>
    </row>
    <row r="17" spans="2:17" x14ac:dyDescent="0.25">
      <c r="B17" s="29">
        <v>4</v>
      </c>
      <c r="C17" s="17" t="s">
        <v>139</v>
      </c>
      <c r="D17" s="32" t="s">
        <v>142</v>
      </c>
      <c r="E17" s="33">
        <v>28</v>
      </c>
      <c r="F17" s="32">
        <v>16625</v>
      </c>
      <c r="G17" s="34">
        <f t="shared" si="0"/>
        <v>465500</v>
      </c>
      <c r="H17" s="21"/>
      <c r="I17" s="21"/>
      <c r="J17" s="21"/>
      <c r="K17" s="21"/>
      <c r="L17" s="21"/>
      <c r="N17" s="22"/>
      <c r="Q17" s="1"/>
    </row>
    <row r="18" spans="2:17" x14ac:dyDescent="0.25">
      <c r="B18" s="29">
        <v>5</v>
      </c>
      <c r="C18" s="17" t="s">
        <v>140</v>
      </c>
      <c r="D18" s="32" t="s">
        <v>135</v>
      </c>
      <c r="E18" s="33">
        <v>100</v>
      </c>
      <c r="F18" s="32">
        <v>1330</v>
      </c>
      <c r="G18" s="34">
        <f t="shared" si="0"/>
        <v>133000</v>
      </c>
      <c r="H18" s="21"/>
      <c r="I18" s="21"/>
      <c r="J18" s="21"/>
      <c r="K18" s="21"/>
      <c r="L18" s="21"/>
      <c r="N18" s="22"/>
      <c r="Q18" s="1"/>
    </row>
    <row r="19" spans="2:17" x14ac:dyDescent="0.25">
      <c r="B19" s="18"/>
      <c r="C19" s="21"/>
      <c r="D19" s="21"/>
      <c r="E19" s="21"/>
      <c r="F19" s="21"/>
      <c r="G19" s="36">
        <f>+SUM(G14:G18)</f>
        <v>2082838</v>
      </c>
      <c r="H19" s="21"/>
      <c r="I19" s="37"/>
      <c r="J19" s="21"/>
      <c r="K19" s="21"/>
      <c r="L19" s="21"/>
      <c r="N19" s="22"/>
    </row>
    <row r="20" spans="2:17" s="3" customFormat="1" x14ac:dyDescent="0.25">
      <c r="B20" s="1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11"/>
      <c r="P20" s="1"/>
    </row>
    <row r="21" spans="2:17" s="3" customFormat="1" x14ac:dyDescent="0.25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11"/>
      <c r="P21" s="1"/>
    </row>
    <row r="22" spans="2:17" x14ac:dyDescent="0.25">
      <c r="B22" s="18"/>
      <c r="C22" s="21"/>
      <c r="D22" s="21"/>
      <c r="E22" s="21"/>
      <c r="F22" s="21"/>
      <c r="G22" s="21"/>
      <c r="H22" s="230" t="s">
        <v>13</v>
      </c>
      <c r="I22" s="231"/>
      <c r="J22" s="231"/>
      <c r="K22" s="231"/>
      <c r="L22" s="232"/>
      <c r="N22" s="22"/>
    </row>
    <row r="23" spans="2:17" x14ac:dyDescent="0.25">
      <c r="B23" s="211" t="s">
        <v>1</v>
      </c>
      <c r="C23" s="211" t="s">
        <v>9</v>
      </c>
      <c r="D23" s="211" t="s">
        <v>3</v>
      </c>
      <c r="E23" s="211" t="s">
        <v>10</v>
      </c>
      <c r="F23" s="211" t="s">
        <v>11</v>
      </c>
      <c r="G23" s="211" t="s">
        <v>12</v>
      </c>
      <c r="H23" s="38" t="str">
        <f>+C14</f>
        <v xml:space="preserve">SEMILLA </v>
      </c>
      <c r="I23" s="38" t="str">
        <f>+C15</f>
        <v>ABONO SENCILLO</v>
      </c>
      <c r="J23" s="38" t="str">
        <f>+D16</f>
        <v>LITRO</v>
      </c>
      <c r="K23" s="38" t="str">
        <f>+C17</f>
        <v xml:space="preserve">FUMIGADA </v>
      </c>
      <c r="L23" s="38" t="str">
        <f>+C18</f>
        <v xml:space="preserve">ABONO CON POTASIO </v>
      </c>
      <c r="N23" s="22"/>
    </row>
    <row r="24" spans="2:17" x14ac:dyDescent="0.25">
      <c r="B24" s="211"/>
      <c r="C24" s="211"/>
      <c r="D24" s="211"/>
      <c r="E24" s="211"/>
      <c r="F24" s="211"/>
      <c r="G24" s="211"/>
      <c r="H24" s="38" t="str">
        <f>+D14</f>
        <v>UNIDAD</v>
      </c>
      <c r="I24" s="38" t="str">
        <f>+D15</f>
        <v>KILO</v>
      </c>
      <c r="J24" s="38" t="str">
        <f>+D16</f>
        <v>LITRO</v>
      </c>
      <c r="K24" s="38" t="str">
        <f>+D17</f>
        <v>LITRO</v>
      </c>
      <c r="L24" s="38" t="str">
        <f>+D18</f>
        <v>KILO</v>
      </c>
      <c r="N24" s="22"/>
    </row>
    <row r="25" spans="2:17" x14ac:dyDescent="0.25">
      <c r="B25" s="29">
        <v>1</v>
      </c>
      <c r="C25" s="17" t="str">
        <f>+C9</f>
        <v xml:space="preserve">UCHUVA </v>
      </c>
      <c r="D25" s="17" t="str">
        <f>+D9</f>
        <v>KILO</v>
      </c>
      <c r="E25" s="32">
        <f>+E9</f>
        <v>1743</v>
      </c>
      <c r="F25" s="32">
        <f>+SUM(H25:L25)</f>
        <v>121.5191365227538</v>
      </c>
      <c r="G25" s="12">
        <f>IF(F25=0,"",(E25-F25)/F25)</f>
        <v>13.343419891513406</v>
      </c>
      <c r="H25" s="32">
        <f>+F9*F14</f>
        <v>7.2928821470245042</v>
      </c>
      <c r="I25" s="32">
        <f>+G9*F15</f>
        <v>58.343057176196034</v>
      </c>
      <c r="J25" s="32">
        <f>+H9*F16</f>
        <v>20.964877479579929</v>
      </c>
      <c r="K25" s="32">
        <f>+I9*F17</f>
        <v>27.158693115519252</v>
      </c>
      <c r="L25" s="32">
        <f>+J9*F18</f>
        <v>7.7596266044340725</v>
      </c>
      <c r="N25" s="22"/>
    </row>
    <row r="26" spans="2:17" x14ac:dyDescent="0.2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N26" s="22"/>
    </row>
    <row r="27" spans="2:17" ht="26.25" customHeight="1" x14ac:dyDescent="0.25">
      <c r="B27" s="214" t="s">
        <v>15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6"/>
    </row>
    <row r="28" spans="2:17" x14ac:dyDescent="0.25"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N28" s="22"/>
    </row>
    <row r="29" spans="2:17" ht="33.75" x14ac:dyDescent="0.5">
      <c r="B29" s="18"/>
      <c r="C29" s="21"/>
      <c r="D29" s="21"/>
      <c r="E29" s="21"/>
      <c r="F29" s="21"/>
      <c r="G29" s="21"/>
      <c r="H29" s="21"/>
      <c r="I29" s="21"/>
      <c r="J29" s="41"/>
      <c r="K29" s="21"/>
      <c r="L29" s="21"/>
      <c r="N29" s="22"/>
    </row>
    <row r="30" spans="2:17" x14ac:dyDescent="0.25">
      <c r="B30" s="18"/>
      <c r="C30" s="211" t="s">
        <v>143</v>
      </c>
      <c r="D30" s="211"/>
      <c r="E30" s="211"/>
      <c r="F30" s="21"/>
      <c r="G30" s="211" t="s">
        <v>144</v>
      </c>
      <c r="H30" s="211"/>
      <c r="I30" s="211"/>
      <c r="J30" s="21"/>
      <c r="K30" s="21"/>
      <c r="L30" s="21"/>
      <c r="N30" s="22"/>
    </row>
    <row r="31" spans="2:17" x14ac:dyDescent="0.25">
      <c r="B31" s="18"/>
      <c r="C31" s="5" t="s">
        <v>116</v>
      </c>
      <c r="D31" s="5" t="s">
        <v>133</v>
      </c>
      <c r="E31" s="5" t="s">
        <v>49</v>
      </c>
      <c r="F31" s="21"/>
      <c r="G31" s="5" t="s">
        <v>116</v>
      </c>
      <c r="H31" s="5" t="s">
        <v>133</v>
      </c>
      <c r="I31" s="5" t="s">
        <v>49</v>
      </c>
      <c r="J31" s="21"/>
      <c r="K31" s="21"/>
      <c r="L31" s="21"/>
      <c r="N31" s="22"/>
    </row>
    <row r="32" spans="2:17" x14ac:dyDescent="0.25">
      <c r="B32" s="18"/>
      <c r="C32" s="29" t="s">
        <v>34</v>
      </c>
      <c r="D32" s="29">
        <v>0</v>
      </c>
      <c r="E32" s="32">
        <f>+D32*$F$25</f>
        <v>0</v>
      </c>
      <c r="F32" s="21"/>
      <c r="G32" s="29" t="s">
        <v>34</v>
      </c>
      <c r="H32" s="29">
        <v>1890</v>
      </c>
      <c r="I32" s="32">
        <f>+H32*$F$25</f>
        <v>229671.16802800467</v>
      </c>
      <c r="J32" s="21"/>
      <c r="K32" s="21"/>
      <c r="L32" s="21"/>
      <c r="N32" s="22"/>
    </row>
    <row r="33" spans="2:16" x14ac:dyDescent="0.25">
      <c r="B33" s="18"/>
      <c r="C33" s="29" t="s">
        <v>21</v>
      </c>
      <c r="D33" s="29">
        <v>0</v>
      </c>
      <c r="E33" s="32">
        <f t="shared" ref="E33:E43" si="1">+D33*$F$25</f>
        <v>0</v>
      </c>
      <c r="F33" s="21"/>
      <c r="G33" s="29" t="s">
        <v>21</v>
      </c>
      <c r="H33" s="29">
        <v>1690</v>
      </c>
      <c r="I33" s="32">
        <f t="shared" ref="I33:I35" si="2">+H33*$F$25</f>
        <v>205367.3407234539</v>
      </c>
      <c r="J33" s="21"/>
      <c r="K33" s="21"/>
      <c r="L33" s="21"/>
      <c r="N33" s="22"/>
    </row>
    <row r="34" spans="2:16" x14ac:dyDescent="0.25">
      <c r="B34" s="18"/>
      <c r="C34" s="29" t="s">
        <v>22</v>
      </c>
      <c r="D34" s="29">
        <v>0</v>
      </c>
      <c r="E34" s="32">
        <f t="shared" si="1"/>
        <v>0</v>
      </c>
      <c r="F34" s="21"/>
      <c r="G34" s="29" t="s">
        <v>22</v>
      </c>
      <c r="H34" s="29">
        <v>1680</v>
      </c>
      <c r="I34" s="32">
        <f t="shared" si="2"/>
        <v>204152.14935822639</v>
      </c>
      <c r="J34" s="21"/>
      <c r="K34" s="21"/>
      <c r="L34" s="21"/>
      <c r="N34" s="22"/>
    </row>
    <row r="35" spans="2:16" x14ac:dyDescent="0.25">
      <c r="B35" s="18"/>
      <c r="C35" s="29" t="s">
        <v>23</v>
      </c>
      <c r="D35" s="29">
        <v>0</v>
      </c>
      <c r="E35" s="32">
        <f t="shared" si="1"/>
        <v>0</v>
      </c>
      <c r="F35" s="21"/>
      <c r="G35" s="29" t="s">
        <v>23</v>
      </c>
      <c r="H35" s="29">
        <v>1320</v>
      </c>
      <c r="I35" s="32">
        <f t="shared" si="2"/>
        <v>160405.26021003502</v>
      </c>
      <c r="J35" s="21"/>
      <c r="K35" s="21"/>
      <c r="L35" s="21"/>
      <c r="N35" s="22"/>
    </row>
    <row r="36" spans="2:16" x14ac:dyDescent="0.25">
      <c r="B36" s="18"/>
      <c r="C36" s="29" t="s">
        <v>24</v>
      </c>
      <c r="D36" s="29">
        <v>160</v>
      </c>
      <c r="E36" s="32">
        <f t="shared" si="1"/>
        <v>19443.061843640608</v>
      </c>
      <c r="F36" s="21"/>
      <c r="G36" s="29" t="s">
        <v>24</v>
      </c>
      <c r="H36" s="29">
        <v>1100</v>
      </c>
      <c r="I36" s="32">
        <f t="shared" ref="I36" si="3">+H36*$F$25</f>
        <v>133671.05017502917</v>
      </c>
      <c r="J36" s="21"/>
      <c r="K36" s="21"/>
      <c r="L36" s="21"/>
      <c r="N36" s="22"/>
    </row>
    <row r="37" spans="2:16" x14ac:dyDescent="0.25">
      <c r="B37" s="18"/>
      <c r="C37" s="29" t="s">
        <v>25</v>
      </c>
      <c r="D37" s="29">
        <v>0</v>
      </c>
      <c r="E37" s="32">
        <f t="shared" si="1"/>
        <v>0</v>
      </c>
      <c r="F37" s="21"/>
      <c r="G37" s="42" t="s">
        <v>16</v>
      </c>
      <c r="H37" s="5">
        <f>+SUM(H32:H36)</f>
        <v>7680</v>
      </c>
      <c r="I37" s="36">
        <f>+SUM(I32:I36)</f>
        <v>933266.96849474916</v>
      </c>
      <c r="J37" s="37"/>
      <c r="K37" s="35"/>
      <c r="L37" s="37"/>
      <c r="N37" s="22"/>
    </row>
    <row r="38" spans="2:16" x14ac:dyDescent="0.25">
      <c r="B38" s="18"/>
      <c r="C38" s="29" t="s">
        <v>26</v>
      </c>
      <c r="D38" s="29">
        <v>510</v>
      </c>
      <c r="E38" s="32">
        <f t="shared" si="1"/>
        <v>61974.759626604435</v>
      </c>
      <c r="F38" s="21"/>
      <c r="G38" s="21"/>
      <c r="H38" s="21"/>
      <c r="I38" s="21"/>
      <c r="J38" s="37"/>
      <c r="K38" s="35"/>
      <c r="L38" s="37"/>
      <c r="N38" s="22"/>
    </row>
    <row r="39" spans="2:16" x14ac:dyDescent="0.25">
      <c r="B39" s="18"/>
      <c r="C39" s="29" t="s">
        <v>27</v>
      </c>
      <c r="D39" s="29">
        <v>1270</v>
      </c>
      <c r="E39" s="32">
        <f t="shared" si="1"/>
        <v>154329.30338389732</v>
      </c>
      <c r="F39" s="21"/>
      <c r="G39" s="21"/>
      <c r="H39" s="21"/>
      <c r="I39" s="21"/>
      <c r="J39" s="37"/>
      <c r="K39" s="35"/>
      <c r="L39" s="37"/>
      <c r="N39" s="22"/>
    </row>
    <row r="40" spans="2:16" x14ac:dyDescent="0.25">
      <c r="B40" s="18"/>
      <c r="C40" s="29" t="s">
        <v>28</v>
      </c>
      <c r="D40" s="29">
        <v>1590</v>
      </c>
      <c r="E40" s="32">
        <f t="shared" si="1"/>
        <v>193215.42707117854</v>
      </c>
      <c r="F40" s="21"/>
      <c r="G40" s="21"/>
      <c r="H40" s="21"/>
      <c r="I40" s="21"/>
      <c r="J40" s="37"/>
      <c r="K40" s="35"/>
      <c r="L40" s="37"/>
      <c r="N40" s="22"/>
    </row>
    <row r="41" spans="2:16" x14ac:dyDescent="0.25">
      <c r="B41" s="18"/>
      <c r="C41" s="29" t="s">
        <v>29</v>
      </c>
      <c r="D41" s="29">
        <v>1900</v>
      </c>
      <c r="E41" s="32">
        <f t="shared" si="1"/>
        <v>230886.35939323221</v>
      </c>
      <c r="F41" s="21"/>
      <c r="G41" s="21"/>
      <c r="H41" s="21"/>
      <c r="I41" s="21"/>
      <c r="J41" s="21"/>
      <c r="K41" s="21"/>
      <c r="L41" s="21"/>
      <c r="N41" s="22"/>
    </row>
    <row r="42" spans="2:16" x14ac:dyDescent="0.25">
      <c r="B42" s="18"/>
      <c r="C42" s="29" t="s">
        <v>30</v>
      </c>
      <c r="D42" s="29">
        <v>2100</v>
      </c>
      <c r="E42" s="32">
        <f t="shared" si="1"/>
        <v>255190.18669778298</v>
      </c>
      <c r="F42" s="21"/>
      <c r="G42" s="21"/>
      <c r="H42" s="37"/>
      <c r="I42" s="21"/>
      <c r="J42" s="37"/>
      <c r="K42" s="21"/>
      <c r="L42" s="21"/>
      <c r="N42" s="22"/>
    </row>
    <row r="43" spans="2:16" x14ac:dyDescent="0.25">
      <c r="B43" s="18"/>
      <c r="C43" s="29" t="s">
        <v>31</v>
      </c>
      <c r="D43" s="29">
        <v>1930</v>
      </c>
      <c r="E43" s="32">
        <f t="shared" si="1"/>
        <v>234531.93348891483</v>
      </c>
      <c r="F43" s="37"/>
      <c r="G43" s="21"/>
      <c r="H43" s="37"/>
      <c r="I43" s="35"/>
      <c r="J43" s="37"/>
      <c r="K43" s="21"/>
      <c r="L43" s="21"/>
      <c r="N43" s="22"/>
    </row>
    <row r="44" spans="2:16" x14ac:dyDescent="0.25">
      <c r="B44" s="18"/>
      <c r="C44" s="42" t="s">
        <v>16</v>
      </c>
      <c r="D44" s="5">
        <f>+SUM(D32:D43)</f>
        <v>9460</v>
      </c>
      <c r="E44" s="36">
        <f>+SUM(E32:E43)</f>
        <v>1149571.0315052508</v>
      </c>
      <c r="F44" s="21"/>
      <c r="G44" s="21"/>
      <c r="H44" s="21"/>
      <c r="I44" s="21"/>
      <c r="J44" s="37"/>
      <c r="K44" s="21"/>
      <c r="L44" s="37"/>
      <c r="N44" s="22"/>
    </row>
    <row r="45" spans="2:16" x14ac:dyDescent="0.25">
      <c r="B45" s="18"/>
      <c r="C45" s="21"/>
      <c r="D45" s="21"/>
      <c r="E45" s="21"/>
      <c r="F45" s="21"/>
      <c r="G45" s="37"/>
      <c r="H45" s="21"/>
      <c r="I45" s="21"/>
      <c r="J45" s="21"/>
      <c r="K45" s="21"/>
      <c r="L45" s="21"/>
      <c r="N45" s="22"/>
    </row>
    <row r="46" spans="2:16" s="3" customFormat="1" ht="18" customHeight="1" x14ac:dyDescent="0.25">
      <c r="B46" s="227" t="s">
        <v>146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9"/>
      <c r="O46" s="11"/>
      <c r="P46" s="1"/>
    </row>
    <row r="47" spans="2:16" s="3" customFormat="1" ht="18" customHeight="1" x14ac:dyDescent="0.25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11"/>
      <c r="P47" s="1"/>
    </row>
    <row r="48" spans="2:16" s="3" customFormat="1" ht="18" customHeight="1" x14ac:dyDescent="0.25">
      <c r="B48" s="225" t="s">
        <v>37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"/>
      <c r="O48" s="11"/>
      <c r="P48" s="1"/>
    </row>
    <row r="49" spans="2:18" s="3" customFormat="1" ht="18" customHeight="1" x14ac:dyDescent="0.25">
      <c r="B49" s="212" t="s">
        <v>145</v>
      </c>
      <c r="C49" s="211" t="str">
        <f>+C14</f>
        <v xml:space="preserve">SEMILLA </v>
      </c>
      <c r="D49" s="211"/>
      <c r="E49" s="211" t="str">
        <f>+C15</f>
        <v>ABONO SENCILLO</v>
      </c>
      <c r="F49" s="211"/>
      <c r="G49" s="210" t="str">
        <f>+C16</f>
        <v xml:space="preserve">DESINFECTADA </v>
      </c>
      <c r="H49" s="210"/>
      <c r="I49" s="211" t="str">
        <f>+C17</f>
        <v xml:space="preserve">FUMIGADA </v>
      </c>
      <c r="J49" s="211"/>
      <c r="K49" s="211" t="str">
        <f>+C18</f>
        <v xml:space="preserve">ABONO CON POTASIO </v>
      </c>
      <c r="L49" s="233"/>
      <c r="M49" s="211" t="s">
        <v>36</v>
      </c>
      <c r="N49" s="22"/>
      <c r="O49" s="11"/>
      <c r="P49" s="1"/>
    </row>
    <row r="50" spans="2:18" s="3" customFormat="1" ht="18" customHeight="1" x14ac:dyDescent="0.25">
      <c r="B50" s="213"/>
      <c r="C50" s="44" t="s">
        <v>133</v>
      </c>
      <c r="D50" s="44" t="s">
        <v>49</v>
      </c>
      <c r="E50" s="44" t="s">
        <v>133</v>
      </c>
      <c r="F50" s="44" t="s">
        <v>49</v>
      </c>
      <c r="G50" s="44" t="s">
        <v>133</v>
      </c>
      <c r="H50" s="44" t="s">
        <v>49</v>
      </c>
      <c r="I50" s="44" t="s">
        <v>133</v>
      </c>
      <c r="J50" s="44" t="s">
        <v>49</v>
      </c>
      <c r="K50" s="44" t="s">
        <v>133</v>
      </c>
      <c r="L50" s="16" t="s">
        <v>49</v>
      </c>
      <c r="M50" s="211"/>
      <c r="N50" s="22"/>
      <c r="O50" s="11"/>
      <c r="P50" s="1"/>
    </row>
    <row r="51" spans="2:18" s="3" customFormat="1" ht="18" customHeight="1" x14ac:dyDescent="0.25">
      <c r="B51" s="29" t="s">
        <v>34</v>
      </c>
      <c r="C51" s="29">
        <v>500</v>
      </c>
      <c r="D51" s="32">
        <f>+C51*$F$14</f>
        <v>125000</v>
      </c>
      <c r="E51" s="29">
        <v>500</v>
      </c>
      <c r="F51" s="32">
        <f>+E51*$F$15</f>
        <v>250000</v>
      </c>
      <c r="G51" s="29">
        <v>0</v>
      </c>
      <c r="H51" s="32">
        <f>+G51*$F$16</f>
        <v>0</v>
      </c>
      <c r="I51" s="29">
        <v>0</v>
      </c>
      <c r="J51" s="32">
        <f>+I51*$F$17</f>
        <v>0</v>
      </c>
      <c r="K51" s="29">
        <v>0</v>
      </c>
      <c r="L51" s="45">
        <f>+K51*$F$18</f>
        <v>0</v>
      </c>
      <c r="M51" s="46">
        <f>+D51+F51+H51+J51+L51</f>
        <v>375000</v>
      </c>
      <c r="N51" s="22"/>
      <c r="O51" s="11"/>
      <c r="P51" s="1"/>
    </row>
    <row r="52" spans="2:18" s="3" customFormat="1" ht="18" customHeight="1" x14ac:dyDescent="0.25">
      <c r="B52" s="29" t="s">
        <v>21</v>
      </c>
      <c r="C52" s="29">
        <v>0</v>
      </c>
      <c r="D52" s="32">
        <f t="shared" ref="D52:D62" si="4">+C52*$F$14</f>
        <v>0</v>
      </c>
      <c r="E52" s="29">
        <v>0</v>
      </c>
      <c r="F52" s="32">
        <f t="shared" ref="F52:F62" si="5">+E52*$F$15</f>
        <v>0</v>
      </c>
      <c r="G52" s="29">
        <v>2</v>
      </c>
      <c r="H52" s="32">
        <f t="shared" ref="H52:H62" si="6">+G52*$F$16</f>
        <v>51334</v>
      </c>
      <c r="I52" s="29">
        <v>3</v>
      </c>
      <c r="J52" s="32">
        <f t="shared" ref="J52:J61" si="7">+I52*$F$17</f>
        <v>49875</v>
      </c>
      <c r="K52" s="29">
        <v>0</v>
      </c>
      <c r="L52" s="45">
        <f t="shared" ref="L52:L61" si="8">+K52*$F$18</f>
        <v>0</v>
      </c>
      <c r="M52" s="46">
        <f t="shared" ref="M52:M62" si="9">+D52+F52+H52+J52+L52</f>
        <v>101209</v>
      </c>
      <c r="N52" s="22"/>
      <c r="O52" s="11"/>
      <c r="P52" s="1"/>
    </row>
    <row r="53" spans="2:18" s="3" customFormat="1" ht="18" customHeight="1" x14ac:dyDescent="0.25">
      <c r="B53" s="29" t="s">
        <v>22</v>
      </c>
      <c r="C53" s="29">
        <v>0</v>
      </c>
      <c r="D53" s="32">
        <f t="shared" si="4"/>
        <v>0</v>
      </c>
      <c r="E53" s="29">
        <v>0</v>
      </c>
      <c r="F53" s="32">
        <f t="shared" si="5"/>
        <v>0</v>
      </c>
      <c r="G53" s="29">
        <v>0</v>
      </c>
      <c r="H53" s="32">
        <f t="shared" si="6"/>
        <v>0</v>
      </c>
      <c r="I53" s="29">
        <v>0</v>
      </c>
      <c r="J53" s="32">
        <f t="shared" si="7"/>
        <v>0</v>
      </c>
      <c r="K53" s="29">
        <v>0</v>
      </c>
      <c r="L53" s="45">
        <f t="shared" si="8"/>
        <v>0</v>
      </c>
      <c r="M53" s="46">
        <f t="shared" si="9"/>
        <v>0</v>
      </c>
      <c r="N53" s="22"/>
      <c r="O53" s="11"/>
      <c r="P53" s="1"/>
    </row>
    <row r="54" spans="2:18" s="3" customFormat="1" ht="18" customHeight="1" x14ac:dyDescent="0.25">
      <c r="B54" s="29" t="s">
        <v>23</v>
      </c>
      <c r="C54" s="29">
        <v>0</v>
      </c>
      <c r="D54" s="32">
        <f t="shared" si="4"/>
        <v>0</v>
      </c>
      <c r="E54" s="29">
        <v>0</v>
      </c>
      <c r="F54" s="32">
        <f t="shared" si="5"/>
        <v>0</v>
      </c>
      <c r="G54" s="29">
        <v>0</v>
      </c>
      <c r="H54" s="32">
        <f t="shared" si="6"/>
        <v>0</v>
      </c>
      <c r="I54" s="29">
        <v>3</v>
      </c>
      <c r="J54" s="32">
        <f t="shared" si="7"/>
        <v>49875</v>
      </c>
      <c r="K54" s="29">
        <v>0</v>
      </c>
      <c r="L54" s="45">
        <f t="shared" si="8"/>
        <v>0</v>
      </c>
      <c r="M54" s="46">
        <f t="shared" si="9"/>
        <v>49875</v>
      </c>
      <c r="N54" s="22"/>
      <c r="O54" s="11"/>
      <c r="P54" s="1"/>
    </row>
    <row r="55" spans="2:18" s="3" customFormat="1" ht="18" customHeight="1" x14ac:dyDescent="0.25">
      <c r="B55" s="29" t="s">
        <v>24</v>
      </c>
      <c r="C55" s="29">
        <v>0</v>
      </c>
      <c r="D55" s="32">
        <f t="shared" si="4"/>
        <v>0</v>
      </c>
      <c r="E55" s="29">
        <v>500</v>
      </c>
      <c r="F55" s="32">
        <f t="shared" si="5"/>
        <v>250000</v>
      </c>
      <c r="G55" s="29">
        <v>0</v>
      </c>
      <c r="H55" s="32">
        <f t="shared" si="6"/>
        <v>0</v>
      </c>
      <c r="I55" s="29">
        <v>5</v>
      </c>
      <c r="J55" s="32">
        <f t="shared" si="7"/>
        <v>83125</v>
      </c>
      <c r="K55" s="29">
        <v>0</v>
      </c>
      <c r="L55" s="45">
        <f t="shared" si="8"/>
        <v>0</v>
      </c>
      <c r="M55" s="46">
        <f t="shared" si="9"/>
        <v>333125</v>
      </c>
      <c r="N55" s="22"/>
      <c r="O55" s="11"/>
      <c r="P55" s="1"/>
    </row>
    <row r="56" spans="2:18" s="3" customFormat="1" ht="18" customHeight="1" x14ac:dyDescent="0.25">
      <c r="B56" s="29" t="s">
        <v>25</v>
      </c>
      <c r="C56" s="29">
        <v>0</v>
      </c>
      <c r="D56" s="32">
        <f t="shared" si="4"/>
        <v>0</v>
      </c>
      <c r="E56" s="29">
        <v>0</v>
      </c>
      <c r="F56" s="32">
        <f t="shared" si="5"/>
        <v>0</v>
      </c>
      <c r="G56" s="29">
        <v>3</v>
      </c>
      <c r="H56" s="32">
        <f t="shared" si="6"/>
        <v>77001</v>
      </c>
      <c r="I56" s="29">
        <v>4</v>
      </c>
      <c r="J56" s="32">
        <f t="shared" si="7"/>
        <v>66500</v>
      </c>
      <c r="K56" s="29">
        <v>0</v>
      </c>
      <c r="L56" s="45">
        <f t="shared" si="8"/>
        <v>0</v>
      </c>
      <c r="M56" s="46">
        <f t="shared" si="9"/>
        <v>143501</v>
      </c>
      <c r="N56" s="22"/>
      <c r="O56" s="11"/>
      <c r="P56" s="1"/>
    </row>
    <row r="57" spans="2:18" s="3" customFormat="1" ht="18" customHeight="1" x14ac:dyDescent="0.25">
      <c r="B57" s="29" t="s">
        <v>26</v>
      </c>
      <c r="C57" s="29">
        <v>0</v>
      </c>
      <c r="D57" s="32">
        <f t="shared" si="4"/>
        <v>0</v>
      </c>
      <c r="E57" s="29">
        <v>0</v>
      </c>
      <c r="F57" s="32">
        <f t="shared" si="5"/>
        <v>0</v>
      </c>
      <c r="G57" s="29">
        <v>0</v>
      </c>
      <c r="H57" s="32">
        <f t="shared" si="6"/>
        <v>0</v>
      </c>
      <c r="I57" s="29">
        <v>4</v>
      </c>
      <c r="J57" s="32">
        <f t="shared" si="7"/>
        <v>66500</v>
      </c>
      <c r="K57" s="29">
        <v>0</v>
      </c>
      <c r="L57" s="45">
        <f t="shared" si="8"/>
        <v>0</v>
      </c>
      <c r="M57" s="46">
        <f t="shared" si="9"/>
        <v>66500</v>
      </c>
      <c r="N57" s="22"/>
      <c r="O57" s="11"/>
      <c r="P57" s="1"/>
    </row>
    <row r="58" spans="2:18" s="3" customFormat="1" ht="18" customHeight="1" x14ac:dyDescent="0.25">
      <c r="B58" s="29" t="s">
        <v>27</v>
      </c>
      <c r="C58" s="29">
        <v>0</v>
      </c>
      <c r="D58" s="32">
        <f t="shared" si="4"/>
        <v>0</v>
      </c>
      <c r="E58" s="29">
        <v>0</v>
      </c>
      <c r="F58" s="32">
        <f t="shared" si="5"/>
        <v>0</v>
      </c>
      <c r="G58" s="29">
        <v>0</v>
      </c>
      <c r="H58" s="32">
        <f t="shared" si="6"/>
        <v>0</v>
      </c>
      <c r="I58" s="29">
        <v>0</v>
      </c>
      <c r="J58" s="32">
        <f t="shared" si="7"/>
        <v>0</v>
      </c>
      <c r="K58" s="29">
        <v>0</v>
      </c>
      <c r="L58" s="45">
        <f t="shared" si="8"/>
        <v>0</v>
      </c>
      <c r="M58" s="46">
        <f t="shared" si="9"/>
        <v>0</v>
      </c>
      <c r="N58" s="22"/>
      <c r="O58" s="11"/>
      <c r="P58" s="1"/>
    </row>
    <row r="59" spans="2:18" s="3" customFormat="1" ht="18" customHeight="1" x14ac:dyDescent="0.25">
      <c r="B59" s="29" t="s">
        <v>28</v>
      </c>
      <c r="C59" s="29">
        <v>0</v>
      </c>
      <c r="D59" s="32">
        <f t="shared" si="4"/>
        <v>0</v>
      </c>
      <c r="E59" s="29">
        <v>0</v>
      </c>
      <c r="F59" s="32">
        <f t="shared" si="5"/>
        <v>0</v>
      </c>
      <c r="G59" s="29">
        <v>3</v>
      </c>
      <c r="H59" s="32">
        <f t="shared" si="6"/>
        <v>77001</v>
      </c>
      <c r="I59" s="29">
        <v>0</v>
      </c>
      <c r="J59" s="32">
        <f t="shared" si="7"/>
        <v>0</v>
      </c>
      <c r="K59" s="29">
        <v>0</v>
      </c>
      <c r="L59" s="45">
        <f t="shared" si="8"/>
        <v>0</v>
      </c>
      <c r="M59" s="46">
        <f t="shared" si="9"/>
        <v>77001</v>
      </c>
      <c r="N59" s="22"/>
      <c r="O59" s="11"/>
      <c r="P59" s="1"/>
    </row>
    <row r="60" spans="2:18" s="3" customFormat="1" ht="18" customHeight="1" x14ac:dyDescent="0.25">
      <c r="B60" s="29" t="s">
        <v>29</v>
      </c>
      <c r="C60" s="29">
        <v>0</v>
      </c>
      <c r="D60" s="32">
        <f t="shared" si="4"/>
        <v>0</v>
      </c>
      <c r="E60" s="29">
        <v>0</v>
      </c>
      <c r="F60" s="32">
        <f t="shared" si="5"/>
        <v>0</v>
      </c>
      <c r="G60" s="29">
        <v>0</v>
      </c>
      <c r="H60" s="32">
        <f t="shared" si="6"/>
        <v>0</v>
      </c>
      <c r="I60" s="29">
        <v>3</v>
      </c>
      <c r="J60" s="32">
        <f t="shared" si="7"/>
        <v>49875</v>
      </c>
      <c r="K60" s="29">
        <v>0</v>
      </c>
      <c r="L60" s="45">
        <f t="shared" si="8"/>
        <v>0</v>
      </c>
      <c r="M60" s="46">
        <f t="shared" si="9"/>
        <v>49875</v>
      </c>
      <c r="N60" s="22"/>
      <c r="O60" s="11"/>
      <c r="P60" s="13"/>
      <c r="Q60" s="7"/>
      <c r="R60" s="15"/>
    </row>
    <row r="61" spans="2:18" s="3" customFormat="1" ht="18" customHeight="1" x14ac:dyDescent="0.25">
      <c r="B61" s="29" t="s">
        <v>30</v>
      </c>
      <c r="C61" s="29">
        <v>0</v>
      </c>
      <c r="D61" s="32">
        <f t="shared" si="4"/>
        <v>0</v>
      </c>
      <c r="E61" s="29">
        <v>1000</v>
      </c>
      <c r="F61" s="32">
        <f t="shared" si="5"/>
        <v>500000</v>
      </c>
      <c r="G61" s="29">
        <v>0</v>
      </c>
      <c r="H61" s="32">
        <f t="shared" si="6"/>
        <v>0</v>
      </c>
      <c r="I61" s="29">
        <v>0</v>
      </c>
      <c r="J61" s="32">
        <f t="shared" si="7"/>
        <v>0</v>
      </c>
      <c r="K61" s="29">
        <v>100</v>
      </c>
      <c r="L61" s="45">
        <f t="shared" si="8"/>
        <v>133000</v>
      </c>
      <c r="M61" s="46">
        <f t="shared" si="9"/>
        <v>633000</v>
      </c>
      <c r="N61" s="47"/>
      <c r="O61" s="11"/>
      <c r="P61" s="1"/>
    </row>
    <row r="62" spans="2:18" s="3" customFormat="1" ht="18" customHeight="1" x14ac:dyDescent="0.25">
      <c r="B62" s="29" t="s">
        <v>31</v>
      </c>
      <c r="C62" s="29">
        <v>0</v>
      </c>
      <c r="D62" s="32">
        <f t="shared" si="4"/>
        <v>0</v>
      </c>
      <c r="E62" s="29">
        <v>0</v>
      </c>
      <c r="F62" s="32">
        <f t="shared" si="5"/>
        <v>0</v>
      </c>
      <c r="G62" s="29">
        <v>0</v>
      </c>
      <c r="H62" s="32">
        <f t="shared" si="6"/>
        <v>0</v>
      </c>
      <c r="I62" s="29">
        <v>0</v>
      </c>
      <c r="J62" s="32">
        <f>+I62*$F$17</f>
        <v>0</v>
      </c>
      <c r="K62" s="29">
        <v>0</v>
      </c>
      <c r="L62" s="45">
        <f>+K62*$F$18</f>
        <v>0</v>
      </c>
      <c r="M62" s="46">
        <f t="shared" si="9"/>
        <v>0</v>
      </c>
      <c r="N62" s="22"/>
      <c r="O62" s="11"/>
      <c r="P62" s="1"/>
    </row>
    <row r="63" spans="2:18" s="6" customFormat="1" ht="18" customHeight="1" x14ac:dyDescent="0.25">
      <c r="B63" s="5" t="s">
        <v>16</v>
      </c>
      <c r="C63" s="5">
        <f>+SUM(C51:C62)</f>
        <v>500</v>
      </c>
      <c r="D63" s="36">
        <f t="shared" ref="D63:L63" si="10">+SUM(D51:D62)</f>
        <v>125000</v>
      </c>
      <c r="E63" s="5">
        <f t="shared" si="10"/>
        <v>2000</v>
      </c>
      <c r="F63" s="36">
        <f t="shared" si="10"/>
        <v>1000000</v>
      </c>
      <c r="G63" s="5">
        <f t="shared" si="10"/>
        <v>8</v>
      </c>
      <c r="H63" s="36">
        <f t="shared" si="10"/>
        <v>205336</v>
      </c>
      <c r="I63" s="5">
        <f t="shared" si="10"/>
        <v>22</v>
      </c>
      <c r="J63" s="36">
        <f t="shared" si="10"/>
        <v>365750</v>
      </c>
      <c r="K63" s="5">
        <f t="shared" si="10"/>
        <v>100</v>
      </c>
      <c r="L63" s="48">
        <f t="shared" si="10"/>
        <v>133000</v>
      </c>
      <c r="M63" s="49">
        <f>+SUM(M51:M62)</f>
        <v>1829086</v>
      </c>
      <c r="N63" s="50"/>
      <c r="P63" s="2"/>
    </row>
    <row r="64" spans="2:18" s="3" customFormat="1" ht="18" customHeight="1" x14ac:dyDescent="0.25">
      <c r="B64" s="1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11"/>
      <c r="P64" s="1"/>
    </row>
    <row r="65" spans="2:16" s="3" customFormat="1" ht="18" customHeight="1" x14ac:dyDescent="0.25">
      <c r="B65" s="210" t="s">
        <v>147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2"/>
      <c r="O65" s="11"/>
      <c r="P65" s="13"/>
    </row>
    <row r="66" spans="2:16" s="3" customFormat="1" ht="18" customHeight="1" x14ac:dyDescent="0.25">
      <c r="B66" s="212" t="s">
        <v>145</v>
      </c>
      <c r="C66" s="211" t="str">
        <f>+C14</f>
        <v xml:space="preserve">SEMILLA </v>
      </c>
      <c r="D66" s="211"/>
      <c r="E66" s="211" t="str">
        <f>+C15</f>
        <v>ABONO SENCILLO</v>
      </c>
      <c r="F66" s="211"/>
      <c r="G66" s="211" t="str">
        <f>+C16</f>
        <v xml:space="preserve">DESINFECTADA </v>
      </c>
      <c r="H66" s="211"/>
      <c r="I66" s="211" t="str">
        <f>+C17</f>
        <v xml:space="preserve">FUMIGADA </v>
      </c>
      <c r="J66" s="211"/>
      <c r="K66" s="211" t="str">
        <f>+C18</f>
        <v xml:space="preserve">ABONO CON POTASIO </v>
      </c>
      <c r="L66" s="233"/>
      <c r="M66" s="211" t="s">
        <v>36</v>
      </c>
      <c r="N66" s="22"/>
      <c r="O66" s="11"/>
      <c r="P66" s="1"/>
    </row>
    <row r="67" spans="2:16" s="3" customFormat="1" ht="18" customHeight="1" x14ac:dyDescent="0.25">
      <c r="B67" s="213"/>
      <c r="C67" s="44" t="s">
        <v>133</v>
      </c>
      <c r="D67" s="44" t="s">
        <v>49</v>
      </c>
      <c r="E67" s="44" t="s">
        <v>133</v>
      </c>
      <c r="F67" s="44" t="s">
        <v>49</v>
      </c>
      <c r="G67" s="44" t="s">
        <v>133</v>
      </c>
      <c r="H67" s="44" t="s">
        <v>49</v>
      </c>
      <c r="I67" s="44" t="s">
        <v>133</v>
      </c>
      <c r="J67" s="44" t="s">
        <v>49</v>
      </c>
      <c r="K67" s="44" t="s">
        <v>133</v>
      </c>
      <c r="L67" s="16" t="s">
        <v>49</v>
      </c>
      <c r="M67" s="211"/>
      <c r="N67" s="22"/>
      <c r="O67" s="11"/>
      <c r="P67" s="1"/>
    </row>
    <row r="68" spans="2:16" s="3" customFormat="1" ht="18" customHeight="1" x14ac:dyDescent="0.25">
      <c r="B68" s="29" t="s">
        <v>34</v>
      </c>
      <c r="C68" s="29">
        <v>0</v>
      </c>
      <c r="D68" s="32">
        <f>+C68*$F$14</f>
        <v>0</v>
      </c>
      <c r="E68" s="29">
        <v>0</v>
      </c>
      <c r="F68" s="32">
        <f>+E68*$F$15</f>
        <v>0</v>
      </c>
      <c r="G68" s="29">
        <v>6</v>
      </c>
      <c r="H68" s="32">
        <f>+G68*$F$16</f>
        <v>154002</v>
      </c>
      <c r="I68" s="29">
        <v>0</v>
      </c>
      <c r="J68" s="32">
        <f>+I68*$F$17</f>
        <v>0</v>
      </c>
      <c r="K68" s="29">
        <v>0</v>
      </c>
      <c r="L68" s="45">
        <f>+K68*$F$18</f>
        <v>0</v>
      </c>
      <c r="M68" s="46">
        <f>+D68+F68+H68+J68+L68</f>
        <v>154002</v>
      </c>
      <c r="N68" s="22"/>
      <c r="O68" s="11"/>
      <c r="P68" s="1"/>
    </row>
    <row r="69" spans="2:16" s="3" customFormat="1" ht="18" customHeight="1" x14ac:dyDescent="0.25">
      <c r="B69" s="29" t="s">
        <v>21</v>
      </c>
      <c r="C69" s="29">
        <v>0</v>
      </c>
      <c r="D69" s="32">
        <f t="shared" ref="D69:D72" si="11">+C69*$F$14</f>
        <v>0</v>
      </c>
      <c r="E69" s="29">
        <v>0</v>
      </c>
      <c r="F69" s="32">
        <f t="shared" ref="F69:F72" si="12">+E69*$F$15</f>
        <v>0</v>
      </c>
      <c r="G69" s="29">
        <v>0</v>
      </c>
      <c r="H69" s="32">
        <f t="shared" ref="H69:H72" si="13">+G69*$F$16</f>
        <v>0</v>
      </c>
      <c r="I69" s="29">
        <v>6</v>
      </c>
      <c r="J69" s="32">
        <f t="shared" ref="J69:J72" si="14">+I69*$F$17</f>
        <v>99750</v>
      </c>
      <c r="K69" s="29">
        <v>0</v>
      </c>
      <c r="L69" s="45">
        <f t="shared" ref="L69:L72" si="15">+K69*$F$18</f>
        <v>0</v>
      </c>
      <c r="M69" s="46">
        <f t="shared" ref="M69:M72" si="16">+D69+F69+H69+J69+L69</f>
        <v>99750</v>
      </c>
      <c r="N69" s="22"/>
      <c r="O69" s="11"/>
      <c r="P69" s="1"/>
    </row>
    <row r="70" spans="2:16" s="3" customFormat="1" ht="18" customHeight="1" x14ac:dyDescent="0.25">
      <c r="B70" s="29" t="s">
        <v>22</v>
      </c>
      <c r="C70" s="29">
        <v>0</v>
      </c>
      <c r="D70" s="32">
        <f t="shared" si="11"/>
        <v>0</v>
      </c>
      <c r="E70" s="29">
        <v>0</v>
      </c>
      <c r="F70" s="32">
        <f t="shared" si="12"/>
        <v>0</v>
      </c>
      <c r="G70" s="29">
        <v>0</v>
      </c>
      <c r="H70" s="32">
        <f t="shared" si="13"/>
        <v>0</v>
      </c>
      <c r="I70" s="29">
        <v>0</v>
      </c>
      <c r="J70" s="32">
        <f t="shared" si="14"/>
        <v>0</v>
      </c>
      <c r="K70" s="29">
        <v>0</v>
      </c>
      <c r="L70" s="45">
        <f t="shared" si="15"/>
        <v>0</v>
      </c>
      <c r="M70" s="46">
        <f t="shared" si="16"/>
        <v>0</v>
      </c>
      <c r="N70" s="22"/>
      <c r="O70" s="11"/>
      <c r="P70" s="1"/>
    </row>
    <row r="71" spans="2:16" s="3" customFormat="1" ht="18" customHeight="1" x14ac:dyDescent="0.25">
      <c r="B71" s="29" t="s">
        <v>23</v>
      </c>
      <c r="C71" s="29">
        <v>0</v>
      </c>
      <c r="D71" s="32">
        <f t="shared" si="11"/>
        <v>0</v>
      </c>
      <c r="E71" s="29">
        <v>0</v>
      </c>
      <c r="F71" s="32">
        <f t="shared" si="12"/>
        <v>0</v>
      </c>
      <c r="G71" s="29">
        <v>0</v>
      </c>
      <c r="H71" s="32">
        <f t="shared" si="13"/>
        <v>0</v>
      </c>
      <c r="I71" s="29">
        <v>0</v>
      </c>
      <c r="J71" s="32">
        <f t="shared" si="14"/>
        <v>0</v>
      </c>
      <c r="K71" s="29">
        <v>0</v>
      </c>
      <c r="L71" s="45">
        <f t="shared" si="15"/>
        <v>0</v>
      </c>
      <c r="M71" s="46">
        <f t="shared" si="16"/>
        <v>0</v>
      </c>
      <c r="N71" s="22"/>
      <c r="O71" s="11"/>
      <c r="P71" s="1"/>
    </row>
    <row r="72" spans="2:16" s="3" customFormat="1" ht="18" customHeight="1" x14ac:dyDescent="0.25">
      <c r="B72" s="29" t="s">
        <v>24</v>
      </c>
      <c r="C72" s="29">
        <v>0</v>
      </c>
      <c r="D72" s="32">
        <f t="shared" si="11"/>
        <v>0</v>
      </c>
      <c r="E72" s="29">
        <v>0</v>
      </c>
      <c r="F72" s="32">
        <f t="shared" si="12"/>
        <v>0</v>
      </c>
      <c r="G72" s="29">
        <v>0</v>
      </c>
      <c r="H72" s="32">
        <f t="shared" si="13"/>
        <v>0</v>
      </c>
      <c r="I72" s="29">
        <v>0</v>
      </c>
      <c r="J72" s="32">
        <f t="shared" si="14"/>
        <v>0</v>
      </c>
      <c r="K72" s="29">
        <v>0</v>
      </c>
      <c r="L72" s="45">
        <f t="shared" si="15"/>
        <v>0</v>
      </c>
      <c r="M72" s="46">
        <f t="shared" si="16"/>
        <v>0</v>
      </c>
      <c r="N72" s="22"/>
      <c r="O72" s="11"/>
      <c r="P72" s="1"/>
    </row>
    <row r="73" spans="2:16" s="3" customFormat="1" ht="18" customHeight="1" x14ac:dyDescent="0.25">
      <c r="B73" s="5" t="s">
        <v>16</v>
      </c>
      <c r="C73" s="5">
        <f t="shared" ref="C73:M73" si="17">+SUM(C68:C72)</f>
        <v>0</v>
      </c>
      <c r="D73" s="36">
        <f t="shared" si="17"/>
        <v>0</v>
      </c>
      <c r="E73" s="5">
        <f t="shared" si="17"/>
        <v>0</v>
      </c>
      <c r="F73" s="36">
        <f t="shared" si="17"/>
        <v>0</v>
      </c>
      <c r="G73" s="5">
        <f t="shared" si="17"/>
        <v>6</v>
      </c>
      <c r="H73" s="36">
        <f t="shared" si="17"/>
        <v>154002</v>
      </c>
      <c r="I73" s="5">
        <f t="shared" si="17"/>
        <v>6</v>
      </c>
      <c r="J73" s="36">
        <f t="shared" si="17"/>
        <v>99750</v>
      </c>
      <c r="K73" s="5">
        <f t="shared" si="17"/>
        <v>0</v>
      </c>
      <c r="L73" s="48">
        <f t="shared" si="17"/>
        <v>0</v>
      </c>
      <c r="M73" s="49">
        <f t="shared" si="17"/>
        <v>253752</v>
      </c>
      <c r="N73" s="22"/>
      <c r="O73" s="11"/>
      <c r="P73" s="13"/>
    </row>
    <row r="74" spans="2:16" s="3" customFormat="1" ht="18" customHeight="1" x14ac:dyDescent="0.25">
      <c r="B74" s="51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54"/>
      <c r="N74" s="43"/>
      <c r="O74" s="11"/>
      <c r="P74" s="1"/>
    </row>
    <row r="75" spans="2:16" s="3" customFormat="1" ht="18" customHeight="1" x14ac:dyDescent="0.25">
      <c r="B75" s="55"/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8"/>
      <c r="N75" s="22"/>
      <c r="O75" s="11"/>
      <c r="P75" s="1"/>
    </row>
    <row r="76" spans="2:16" s="3" customFormat="1" ht="18" customHeight="1" x14ac:dyDescent="0.25">
      <c r="B76" s="217" t="s">
        <v>148</v>
      </c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11"/>
      <c r="P76" s="1"/>
    </row>
    <row r="77" spans="2:16" s="3" customFormat="1" ht="18" customHeight="1" x14ac:dyDescent="0.25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11"/>
      <c r="P77" s="1"/>
    </row>
    <row r="78" spans="2:16" s="3" customFormat="1" ht="18" customHeight="1" x14ac:dyDescent="0.25">
      <c r="B78" s="55"/>
      <c r="C78" s="56"/>
      <c r="D78" s="62"/>
      <c r="E78" s="56"/>
      <c r="F78" s="62"/>
      <c r="G78" s="218" t="s">
        <v>149</v>
      </c>
      <c r="H78" s="218"/>
      <c r="I78" s="218"/>
      <c r="J78" s="63"/>
      <c r="K78" s="56"/>
      <c r="L78" s="57"/>
      <c r="M78" s="58"/>
      <c r="N78" s="22"/>
      <c r="O78" s="11"/>
      <c r="P78" s="1"/>
    </row>
    <row r="79" spans="2:16" s="3" customFormat="1" ht="18" customHeight="1" x14ac:dyDescent="0.25">
      <c r="B79" s="55"/>
      <c r="C79" s="56"/>
      <c r="D79" s="64" t="s">
        <v>116</v>
      </c>
      <c r="E79" s="64" t="s">
        <v>47</v>
      </c>
      <c r="F79" s="5" t="s">
        <v>46</v>
      </c>
      <c r="G79" s="65">
        <v>30</v>
      </c>
      <c r="H79" s="27">
        <v>60</v>
      </c>
      <c r="I79" s="65">
        <v>90</v>
      </c>
      <c r="J79" s="212" t="s">
        <v>36</v>
      </c>
      <c r="K79" s="57"/>
      <c r="L79" s="58"/>
      <c r="M79" s="21"/>
      <c r="N79" s="22"/>
      <c r="O79" s="1"/>
    </row>
    <row r="80" spans="2:16" s="3" customFormat="1" ht="18" customHeight="1" x14ac:dyDescent="0.25">
      <c r="B80" s="55"/>
      <c r="C80" s="56"/>
      <c r="D80" s="64"/>
      <c r="E80" s="64"/>
      <c r="F80" s="66">
        <v>1</v>
      </c>
      <c r="G80" s="67">
        <v>0</v>
      </c>
      <c r="H80" s="68">
        <v>0</v>
      </c>
      <c r="I80" s="67">
        <v>0</v>
      </c>
      <c r="J80" s="213"/>
      <c r="K80" s="57"/>
      <c r="L80" s="58"/>
      <c r="M80" s="21"/>
      <c r="N80" s="22"/>
      <c r="O80" s="1"/>
    </row>
    <row r="81" spans="2:15" s="3" customFormat="1" ht="18" customHeight="1" x14ac:dyDescent="0.25">
      <c r="B81" s="55"/>
      <c r="C81" s="56"/>
      <c r="D81" s="69" t="s">
        <v>34</v>
      </c>
      <c r="E81" s="32">
        <f>+M51</f>
        <v>375000</v>
      </c>
      <c r="F81" s="69">
        <f>+E81*$F$80</f>
        <v>375000</v>
      </c>
      <c r="G81" s="32"/>
      <c r="H81" s="69"/>
      <c r="I81" s="32"/>
      <c r="J81" s="70">
        <f>+F81+G81+H81+I81</f>
        <v>375000</v>
      </c>
      <c r="K81" s="57"/>
      <c r="L81" s="58"/>
      <c r="M81" s="21"/>
      <c r="N81" s="22"/>
      <c r="O81" s="1"/>
    </row>
    <row r="82" spans="2:15" s="3" customFormat="1" ht="18" customHeight="1" x14ac:dyDescent="0.25">
      <c r="B82" s="55"/>
      <c r="C82" s="56"/>
      <c r="D82" s="69" t="s">
        <v>21</v>
      </c>
      <c r="E82" s="32">
        <f t="shared" ref="E82:E92" si="18">+M52</f>
        <v>101209</v>
      </c>
      <c r="F82" s="69">
        <f t="shared" ref="F82:F92" si="19">+E82*$F$80</f>
        <v>101209</v>
      </c>
      <c r="G82" s="32">
        <f>+E81*$G$80</f>
        <v>0</v>
      </c>
      <c r="H82" s="69"/>
      <c r="I82" s="32"/>
      <c r="J82" s="70">
        <f t="shared" ref="J82:J93" si="20">+F82+G82+H82+I82</f>
        <v>101209</v>
      </c>
      <c r="K82" s="57"/>
      <c r="L82" s="58"/>
      <c r="M82" s="21"/>
      <c r="N82" s="22"/>
      <c r="O82" s="1"/>
    </row>
    <row r="83" spans="2:15" s="3" customFormat="1" ht="18" customHeight="1" x14ac:dyDescent="0.25">
      <c r="B83" s="55"/>
      <c r="C83" s="56"/>
      <c r="D83" s="69" t="s">
        <v>22</v>
      </c>
      <c r="E83" s="32">
        <f t="shared" si="18"/>
        <v>0</v>
      </c>
      <c r="F83" s="69">
        <f t="shared" si="19"/>
        <v>0</v>
      </c>
      <c r="G83" s="32">
        <f>+E82*$G$80</f>
        <v>0</v>
      </c>
      <c r="H83" s="69">
        <f>+E81*$H$80</f>
        <v>0</v>
      </c>
      <c r="I83" s="32"/>
      <c r="J83" s="70">
        <f t="shared" si="20"/>
        <v>0</v>
      </c>
      <c r="K83" s="57"/>
      <c r="L83" s="58"/>
      <c r="M83" s="21"/>
      <c r="N83" s="22"/>
      <c r="O83" s="1"/>
    </row>
    <row r="84" spans="2:15" s="3" customFormat="1" ht="18" customHeight="1" x14ac:dyDescent="0.25">
      <c r="B84" s="55"/>
      <c r="C84" s="56"/>
      <c r="D84" s="69" t="s">
        <v>23</v>
      </c>
      <c r="E84" s="32">
        <f t="shared" si="18"/>
        <v>49875</v>
      </c>
      <c r="F84" s="69">
        <f t="shared" si="19"/>
        <v>49875</v>
      </c>
      <c r="G84" s="32">
        <f t="shared" ref="G84:G90" si="21">+E83*$G$80</f>
        <v>0</v>
      </c>
      <c r="H84" s="69">
        <f t="shared" ref="H84:H91" si="22">+E82*$H$80</f>
        <v>0</v>
      </c>
      <c r="I84" s="32">
        <f>+E81*$I$80</f>
        <v>0</v>
      </c>
      <c r="J84" s="70">
        <f t="shared" si="20"/>
        <v>49875</v>
      </c>
      <c r="K84" s="57"/>
      <c r="L84" s="58"/>
      <c r="M84" s="21"/>
      <c r="N84" s="22"/>
      <c r="O84" s="1"/>
    </row>
    <row r="85" spans="2:15" s="3" customFormat="1" ht="18" customHeight="1" x14ac:dyDescent="0.25">
      <c r="B85" s="55"/>
      <c r="C85" s="56"/>
      <c r="D85" s="69" t="s">
        <v>24</v>
      </c>
      <c r="E85" s="32">
        <f t="shared" si="18"/>
        <v>333125</v>
      </c>
      <c r="F85" s="69">
        <f t="shared" si="19"/>
        <v>333125</v>
      </c>
      <c r="G85" s="32">
        <f t="shared" si="21"/>
        <v>0</v>
      </c>
      <c r="H85" s="69">
        <f t="shared" si="22"/>
        <v>0</v>
      </c>
      <c r="I85" s="32">
        <f t="shared" ref="I85:I91" si="23">+E82*$I$80</f>
        <v>0</v>
      </c>
      <c r="J85" s="70">
        <f t="shared" si="20"/>
        <v>333125</v>
      </c>
      <c r="K85" s="57"/>
      <c r="L85" s="58"/>
      <c r="M85" s="21"/>
      <c r="N85" s="22"/>
      <c r="O85" s="1"/>
    </row>
    <row r="86" spans="2:15" s="3" customFormat="1" ht="18" customHeight="1" x14ac:dyDescent="0.25">
      <c r="B86" s="55"/>
      <c r="C86" s="56"/>
      <c r="D86" s="69" t="s">
        <v>25</v>
      </c>
      <c r="E86" s="32">
        <f t="shared" si="18"/>
        <v>143501</v>
      </c>
      <c r="F86" s="69">
        <f t="shared" si="19"/>
        <v>143501</v>
      </c>
      <c r="G86" s="32">
        <f t="shared" si="21"/>
        <v>0</v>
      </c>
      <c r="H86" s="69">
        <f t="shared" si="22"/>
        <v>0</v>
      </c>
      <c r="I86" s="32">
        <f t="shared" si="23"/>
        <v>0</v>
      </c>
      <c r="J86" s="70">
        <f t="shared" si="20"/>
        <v>143501</v>
      </c>
      <c r="K86" s="57"/>
      <c r="L86" s="58"/>
      <c r="M86" s="21"/>
      <c r="N86" s="22"/>
      <c r="O86" s="1"/>
    </row>
    <row r="87" spans="2:15" s="3" customFormat="1" ht="18" customHeight="1" x14ac:dyDescent="0.25">
      <c r="B87" s="55"/>
      <c r="C87" s="56"/>
      <c r="D87" s="69" t="s">
        <v>26</v>
      </c>
      <c r="E87" s="32">
        <f t="shared" si="18"/>
        <v>66500</v>
      </c>
      <c r="F87" s="69">
        <f t="shared" si="19"/>
        <v>66500</v>
      </c>
      <c r="G87" s="32">
        <f t="shared" si="21"/>
        <v>0</v>
      </c>
      <c r="H87" s="69">
        <f t="shared" si="22"/>
        <v>0</v>
      </c>
      <c r="I87" s="32">
        <f t="shared" si="23"/>
        <v>0</v>
      </c>
      <c r="J87" s="70">
        <f t="shared" si="20"/>
        <v>66500</v>
      </c>
      <c r="K87" s="57"/>
      <c r="L87" s="58"/>
      <c r="M87" s="21"/>
      <c r="N87" s="22"/>
      <c r="O87" s="1"/>
    </row>
    <row r="88" spans="2:15" s="3" customFormat="1" ht="18" customHeight="1" x14ac:dyDescent="0.25">
      <c r="B88" s="55"/>
      <c r="C88" s="56"/>
      <c r="D88" s="69" t="s">
        <v>27</v>
      </c>
      <c r="E88" s="32">
        <f t="shared" si="18"/>
        <v>0</v>
      </c>
      <c r="F88" s="69">
        <f t="shared" si="19"/>
        <v>0</v>
      </c>
      <c r="G88" s="32">
        <f t="shared" si="21"/>
        <v>0</v>
      </c>
      <c r="H88" s="69">
        <f t="shared" si="22"/>
        <v>0</v>
      </c>
      <c r="I88" s="32">
        <f t="shared" si="23"/>
        <v>0</v>
      </c>
      <c r="J88" s="70">
        <f t="shared" si="20"/>
        <v>0</v>
      </c>
      <c r="K88" s="57"/>
      <c r="L88" s="58"/>
      <c r="M88" s="21"/>
      <c r="N88" s="22"/>
      <c r="O88" s="1"/>
    </row>
    <row r="89" spans="2:15" s="3" customFormat="1" ht="18" customHeight="1" x14ac:dyDescent="0.25">
      <c r="B89" s="55"/>
      <c r="C89" s="56"/>
      <c r="D89" s="69" t="s">
        <v>28</v>
      </c>
      <c r="E89" s="32">
        <f t="shared" si="18"/>
        <v>77001</v>
      </c>
      <c r="F89" s="69">
        <f t="shared" si="19"/>
        <v>77001</v>
      </c>
      <c r="G89" s="32">
        <f t="shared" si="21"/>
        <v>0</v>
      </c>
      <c r="H89" s="69">
        <f t="shared" si="22"/>
        <v>0</v>
      </c>
      <c r="I89" s="32">
        <f t="shared" si="23"/>
        <v>0</v>
      </c>
      <c r="J89" s="70">
        <f t="shared" si="20"/>
        <v>77001</v>
      </c>
      <c r="K89" s="57"/>
      <c r="L89" s="58"/>
      <c r="M89" s="21"/>
      <c r="N89" s="22"/>
      <c r="O89" s="1"/>
    </row>
    <row r="90" spans="2:15" s="3" customFormat="1" ht="18" customHeight="1" x14ac:dyDescent="0.25">
      <c r="B90" s="55"/>
      <c r="C90" s="56"/>
      <c r="D90" s="69" t="s">
        <v>29</v>
      </c>
      <c r="E90" s="32">
        <f t="shared" si="18"/>
        <v>49875</v>
      </c>
      <c r="F90" s="69">
        <f t="shared" si="19"/>
        <v>49875</v>
      </c>
      <c r="G90" s="32">
        <f t="shared" si="21"/>
        <v>0</v>
      </c>
      <c r="H90" s="69">
        <f t="shared" si="22"/>
        <v>0</v>
      </c>
      <c r="I90" s="32">
        <f t="shared" si="23"/>
        <v>0</v>
      </c>
      <c r="J90" s="70">
        <f t="shared" si="20"/>
        <v>49875</v>
      </c>
      <c r="K90" s="57"/>
      <c r="L90" s="58"/>
      <c r="M90" s="21"/>
      <c r="N90" s="22"/>
      <c r="O90" s="1"/>
    </row>
    <row r="91" spans="2:15" s="3" customFormat="1" ht="18" customHeight="1" x14ac:dyDescent="0.25">
      <c r="B91" s="55"/>
      <c r="C91" s="56"/>
      <c r="D91" s="69" t="s">
        <v>30</v>
      </c>
      <c r="E91" s="32">
        <f t="shared" si="18"/>
        <v>633000</v>
      </c>
      <c r="F91" s="69">
        <f t="shared" si="19"/>
        <v>633000</v>
      </c>
      <c r="G91" s="32">
        <f>+E90*$G$80</f>
        <v>0</v>
      </c>
      <c r="H91" s="69">
        <f t="shared" si="22"/>
        <v>0</v>
      </c>
      <c r="I91" s="32">
        <f t="shared" si="23"/>
        <v>0</v>
      </c>
      <c r="J91" s="70">
        <f t="shared" si="20"/>
        <v>633000</v>
      </c>
      <c r="K91" s="57"/>
      <c r="L91" s="58"/>
      <c r="M91" s="21"/>
      <c r="N91" s="22"/>
      <c r="O91" s="1"/>
    </row>
    <row r="92" spans="2:15" s="3" customFormat="1" ht="18" customHeight="1" x14ac:dyDescent="0.25">
      <c r="B92" s="55"/>
      <c r="C92" s="56"/>
      <c r="D92" s="69" t="s">
        <v>31</v>
      </c>
      <c r="E92" s="32">
        <f t="shared" si="18"/>
        <v>0</v>
      </c>
      <c r="F92" s="69">
        <f t="shared" si="19"/>
        <v>0</v>
      </c>
      <c r="G92" s="32">
        <f>+E91*$G$80</f>
        <v>0</v>
      </c>
      <c r="H92" s="69">
        <f>+E90*$H$80</f>
        <v>0</v>
      </c>
      <c r="I92" s="32">
        <f>+E89*$I$80</f>
        <v>0</v>
      </c>
      <c r="J92" s="70">
        <f t="shared" si="20"/>
        <v>0</v>
      </c>
      <c r="K92" s="57"/>
      <c r="L92" s="58"/>
      <c r="M92" s="21"/>
      <c r="N92" s="22"/>
      <c r="O92" s="1"/>
    </row>
    <row r="93" spans="2:15" s="3" customFormat="1" ht="18" customHeight="1" x14ac:dyDescent="0.25">
      <c r="B93" s="55"/>
      <c r="C93" s="56"/>
      <c r="D93" s="36" t="s">
        <v>16</v>
      </c>
      <c r="E93" s="36">
        <f>+SUM(E81:E92)</f>
        <v>1829086</v>
      </c>
      <c r="F93" s="36">
        <f t="shared" ref="F93:I93" si="24">+SUM(F81:F92)</f>
        <v>1829086</v>
      </c>
      <c r="G93" s="71">
        <f t="shared" si="24"/>
        <v>0</v>
      </c>
      <c r="H93" s="71">
        <f>+SUM(H81:H92)</f>
        <v>0</v>
      </c>
      <c r="I93" s="71">
        <f t="shared" si="24"/>
        <v>0</v>
      </c>
      <c r="J93" s="72">
        <f t="shared" si="20"/>
        <v>1829086</v>
      </c>
      <c r="K93" s="57"/>
      <c r="L93" s="58"/>
      <c r="M93" s="21"/>
      <c r="N93" s="22"/>
      <c r="O93" s="1"/>
    </row>
    <row r="94" spans="2:15" s="3" customFormat="1" ht="18" customHeight="1" x14ac:dyDescent="0.25">
      <c r="B94" s="55"/>
      <c r="C94" s="56"/>
      <c r="D94" s="57"/>
      <c r="E94" s="57"/>
      <c r="F94" s="57"/>
      <c r="G94" s="219" t="s">
        <v>150</v>
      </c>
      <c r="H94" s="220"/>
      <c r="I94" s="36">
        <f>+E93-F93</f>
        <v>0</v>
      </c>
      <c r="J94" s="56"/>
      <c r="K94" s="57"/>
      <c r="L94" s="58"/>
      <c r="M94" s="21"/>
      <c r="N94" s="22"/>
      <c r="O94" s="1"/>
    </row>
    <row r="95" spans="2:15" s="3" customFormat="1" ht="18" customHeight="1" x14ac:dyDescent="0.25">
      <c r="B95" s="55"/>
      <c r="C95" s="56"/>
      <c r="D95" s="57"/>
      <c r="E95" s="57"/>
      <c r="F95" s="57"/>
      <c r="G95" s="57"/>
      <c r="H95" s="57"/>
      <c r="I95" s="66">
        <f>+I94/E93</f>
        <v>0</v>
      </c>
      <c r="J95" s="56"/>
      <c r="K95" s="57"/>
      <c r="L95" s="58"/>
      <c r="M95" s="21"/>
      <c r="N95" s="22"/>
      <c r="O95" s="1"/>
    </row>
    <row r="96" spans="2:15" s="3" customFormat="1" ht="18" customHeight="1" x14ac:dyDescent="0.25">
      <c r="B96" s="55"/>
      <c r="C96" s="56"/>
      <c r="D96" s="57"/>
      <c r="E96" s="57"/>
      <c r="F96" s="57"/>
      <c r="G96" s="57"/>
      <c r="H96" s="57"/>
      <c r="I96" s="73"/>
      <c r="J96" s="56"/>
      <c r="K96" s="57"/>
      <c r="L96" s="58"/>
      <c r="M96" s="21"/>
      <c r="N96" s="22"/>
      <c r="O96" s="1"/>
    </row>
    <row r="97" spans="2:15" s="3" customFormat="1" ht="18" customHeight="1" x14ac:dyDescent="0.25">
      <c r="B97" s="55"/>
      <c r="C97" s="56"/>
      <c r="D97" s="57"/>
      <c r="E97" s="57"/>
      <c r="F97" s="57"/>
      <c r="G97" s="57"/>
      <c r="H97" s="57"/>
      <c r="I97" s="73"/>
      <c r="J97" s="56"/>
      <c r="K97" s="57"/>
      <c r="L97" s="58"/>
      <c r="M97" s="21"/>
      <c r="N97" s="22"/>
      <c r="O97" s="1"/>
    </row>
    <row r="98" spans="2:15" s="3" customFormat="1" ht="18" customHeight="1" x14ac:dyDescent="0.25">
      <c r="B98" s="55"/>
      <c r="C98" s="56"/>
      <c r="D98" s="62"/>
      <c r="E98" s="56"/>
      <c r="F98" s="62"/>
      <c r="G98" s="218" t="s">
        <v>149</v>
      </c>
      <c r="H98" s="218"/>
      <c r="I98" s="218"/>
      <c r="J98" s="74"/>
      <c r="K98" s="57"/>
      <c r="L98" s="58"/>
      <c r="M98" s="21"/>
      <c r="N98" s="22"/>
      <c r="O98" s="1"/>
    </row>
    <row r="99" spans="2:15" s="3" customFormat="1" ht="18" customHeight="1" x14ac:dyDescent="0.25">
      <c r="B99" s="55"/>
      <c r="C99" s="56"/>
      <c r="D99" s="64" t="s">
        <v>116</v>
      </c>
      <c r="E99" s="64" t="s">
        <v>147</v>
      </c>
      <c r="F99" s="5" t="s">
        <v>46</v>
      </c>
      <c r="G99" s="65">
        <v>30</v>
      </c>
      <c r="H99" s="27">
        <v>60</v>
      </c>
      <c r="I99" s="65">
        <v>90</v>
      </c>
      <c r="J99" s="211" t="s">
        <v>36</v>
      </c>
      <c r="K99" s="57"/>
      <c r="L99" s="58"/>
      <c r="M99" s="21"/>
      <c r="N99" s="22"/>
      <c r="O99" s="1"/>
    </row>
    <row r="100" spans="2:15" s="3" customFormat="1" ht="18" customHeight="1" x14ac:dyDescent="0.25">
      <c r="B100" s="55"/>
      <c r="C100" s="56"/>
      <c r="D100" s="64"/>
      <c r="E100" s="64"/>
      <c r="F100" s="66">
        <v>1</v>
      </c>
      <c r="G100" s="67">
        <v>0</v>
      </c>
      <c r="H100" s="68">
        <v>0</v>
      </c>
      <c r="I100" s="67">
        <v>0</v>
      </c>
      <c r="J100" s="211"/>
      <c r="K100" s="57"/>
      <c r="L100" s="58"/>
      <c r="M100" s="21"/>
      <c r="N100" s="22"/>
      <c r="O100" s="1"/>
    </row>
    <row r="101" spans="2:15" s="3" customFormat="1" ht="18" customHeight="1" x14ac:dyDescent="0.25">
      <c r="B101" s="55"/>
      <c r="C101" s="56"/>
      <c r="D101" s="69" t="s">
        <v>34</v>
      </c>
      <c r="E101" s="32">
        <f>+M68</f>
        <v>154002</v>
      </c>
      <c r="F101" s="69">
        <f>+E101*$F$100</f>
        <v>154002</v>
      </c>
      <c r="G101" s="32">
        <f>+E92*$G$100</f>
        <v>0</v>
      </c>
      <c r="H101" s="69">
        <f>+E91*$H$100</f>
        <v>0</v>
      </c>
      <c r="I101" s="32">
        <f>+E90*$I$100</f>
        <v>0</v>
      </c>
      <c r="J101" s="70">
        <f>+F101+G101+H101+I101</f>
        <v>154002</v>
      </c>
      <c r="K101" s="57"/>
      <c r="L101" s="58"/>
      <c r="M101" s="21"/>
      <c r="N101" s="22"/>
      <c r="O101" s="1"/>
    </row>
    <row r="102" spans="2:15" s="3" customFormat="1" ht="18" customHeight="1" x14ac:dyDescent="0.25">
      <c r="B102" s="55"/>
      <c r="C102" s="56"/>
      <c r="D102" s="69" t="s">
        <v>21</v>
      </c>
      <c r="E102" s="32">
        <f t="shared" ref="E102:E105" si="25">+M69</f>
        <v>99750</v>
      </c>
      <c r="F102" s="69">
        <f t="shared" ref="F102:F105" si="26">+E102*$F$100</f>
        <v>99750</v>
      </c>
      <c r="G102" s="32">
        <f>+E101*$G$100</f>
        <v>0</v>
      </c>
      <c r="H102" s="69">
        <f>+E92*$H$100</f>
        <v>0</v>
      </c>
      <c r="I102" s="32">
        <f>+E91*$I$100</f>
        <v>0</v>
      </c>
      <c r="J102" s="70">
        <f t="shared" ref="J102:J106" si="27">+F102+G102+H102+I102</f>
        <v>99750</v>
      </c>
      <c r="K102" s="57"/>
      <c r="L102" s="58"/>
      <c r="M102" s="21"/>
      <c r="N102" s="22"/>
      <c r="O102" s="1"/>
    </row>
    <row r="103" spans="2:15" s="3" customFormat="1" ht="18" customHeight="1" x14ac:dyDescent="0.25">
      <c r="B103" s="55"/>
      <c r="C103" s="56"/>
      <c r="D103" s="69" t="s">
        <v>22</v>
      </c>
      <c r="E103" s="32">
        <f t="shared" si="25"/>
        <v>0</v>
      </c>
      <c r="F103" s="69">
        <f t="shared" si="26"/>
        <v>0</v>
      </c>
      <c r="G103" s="32">
        <f t="shared" ref="G103:G105" si="28">+E102*$G$100</f>
        <v>0</v>
      </c>
      <c r="H103" s="69">
        <f>+E101*$H$100</f>
        <v>0</v>
      </c>
      <c r="I103" s="32">
        <f>+E92*$I$100</f>
        <v>0</v>
      </c>
      <c r="J103" s="70">
        <f t="shared" si="27"/>
        <v>0</v>
      </c>
      <c r="K103" s="57"/>
      <c r="L103" s="58"/>
      <c r="M103" s="21"/>
      <c r="N103" s="22"/>
      <c r="O103" s="1"/>
    </row>
    <row r="104" spans="2:15" s="3" customFormat="1" ht="18" customHeight="1" x14ac:dyDescent="0.25">
      <c r="B104" s="55"/>
      <c r="C104" s="56"/>
      <c r="D104" s="69" t="s">
        <v>23</v>
      </c>
      <c r="E104" s="32">
        <f t="shared" si="25"/>
        <v>0</v>
      </c>
      <c r="F104" s="69">
        <f t="shared" si="26"/>
        <v>0</v>
      </c>
      <c r="G104" s="32">
        <f t="shared" si="28"/>
        <v>0</v>
      </c>
      <c r="H104" s="69">
        <f t="shared" ref="H104:H105" si="29">+E102*$H$100</f>
        <v>0</v>
      </c>
      <c r="I104" s="32">
        <f>+E101*$I$80</f>
        <v>0</v>
      </c>
      <c r="J104" s="70">
        <f t="shared" si="27"/>
        <v>0</v>
      </c>
      <c r="K104" s="57"/>
      <c r="L104" s="58"/>
      <c r="M104" s="21"/>
      <c r="N104" s="22"/>
      <c r="O104" s="1"/>
    </row>
    <row r="105" spans="2:15" s="3" customFormat="1" ht="18" customHeight="1" x14ac:dyDescent="0.25">
      <c r="B105" s="55"/>
      <c r="C105" s="56"/>
      <c r="D105" s="69" t="s">
        <v>24</v>
      </c>
      <c r="E105" s="32">
        <f t="shared" si="25"/>
        <v>0</v>
      </c>
      <c r="F105" s="69">
        <f t="shared" si="26"/>
        <v>0</v>
      </c>
      <c r="G105" s="32">
        <f t="shared" si="28"/>
        <v>0</v>
      </c>
      <c r="H105" s="69">
        <f t="shared" si="29"/>
        <v>0</v>
      </c>
      <c r="I105" s="32">
        <f>+E101*$I$1046</f>
        <v>0</v>
      </c>
      <c r="J105" s="70">
        <f t="shared" si="27"/>
        <v>0</v>
      </c>
      <c r="K105" s="57"/>
      <c r="L105" s="58"/>
      <c r="M105" s="21"/>
      <c r="N105" s="22"/>
      <c r="O105" s="1"/>
    </row>
    <row r="106" spans="2:15" s="3" customFormat="1" ht="18" customHeight="1" x14ac:dyDescent="0.25">
      <c r="B106" s="55"/>
      <c r="C106" s="56"/>
      <c r="D106" s="36" t="s">
        <v>16</v>
      </c>
      <c r="E106" s="36">
        <f>+SUM(E101:E105)</f>
        <v>253752</v>
      </c>
      <c r="F106" s="36">
        <f t="shared" ref="F106:I106" si="30">+SUM(F101:F105)</f>
        <v>253752</v>
      </c>
      <c r="G106" s="36">
        <f t="shared" si="30"/>
        <v>0</v>
      </c>
      <c r="H106" s="36">
        <f t="shared" si="30"/>
        <v>0</v>
      </c>
      <c r="I106" s="36">
        <f t="shared" si="30"/>
        <v>0</v>
      </c>
      <c r="J106" s="72">
        <f t="shared" si="27"/>
        <v>253752</v>
      </c>
      <c r="K106" s="57"/>
      <c r="L106" s="58"/>
      <c r="M106" s="21"/>
      <c r="N106" s="22"/>
      <c r="O106" s="1"/>
    </row>
    <row r="107" spans="2:15" s="3" customFormat="1" ht="18" customHeight="1" x14ac:dyDescent="0.25">
      <c r="B107" s="55"/>
      <c r="C107" s="56"/>
      <c r="D107" s="57"/>
      <c r="E107" s="57"/>
      <c r="F107" s="57"/>
      <c r="G107" s="219" t="s">
        <v>150</v>
      </c>
      <c r="H107" s="220"/>
      <c r="I107" s="36">
        <f>+E106-F106</f>
        <v>0</v>
      </c>
      <c r="J107" s="56"/>
      <c r="K107" s="57"/>
      <c r="L107" s="58"/>
      <c r="M107" s="21"/>
      <c r="N107" s="22"/>
      <c r="O107" s="1"/>
    </row>
    <row r="108" spans="2:15" s="3" customFormat="1" ht="18" customHeight="1" x14ac:dyDescent="0.25">
      <c r="B108" s="55"/>
      <c r="C108" s="56"/>
      <c r="D108" s="57"/>
      <c r="E108" s="57"/>
      <c r="F108" s="57"/>
      <c r="G108" s="57"/>
      <c r="H108" s="57"/>
      <c r="I108" s="66">
        <f>+I107/E106</f>
        <v>0</v>
      </c>
      <c r="J108" s="56"/>
      <c r="K108" s="57"/>
      <c r="L108" s="58"/>
      <c r="M108" s="21"/>
      <c r="N108" s="22"/>
      <c r="O108" s="1"/>
    </row>
    <row r="109" spans="2:15" s="3" customFormat="1" ht="18" customHeight="1" x14ac:dyDescent="0.25">
      <c r="B109" s="55"/>
      <c r="C109" s="56"/>
      <c r="D109" s="57"/>
      <c r="E109" s="57"/>
      <c r="F109" s="57"/>
      <c r="G109" s="57"/>
      <c r="H109" s="57"/>
      <c r="I109" s="57"/>
      <c r="J109" s="56"/>
      <c r="K109" s="57"/>
      <c r="L109" s="58"/>
      <c r="M109" s="21"/>
      <c r="N109" s="22"/>
      <c r="O109" s="1"/>
    </row>
    <row r="110" spans="2:15" s="3" customFormat="1" ht="18" customHeight="1" x14ac:dyDescent="0.25">
      <c r="B110" s="217" t="s">
        <v>165</v>
      </c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1"/>
    </row>
    <row r="111" spans="2:15" s="3" customFormat="1" ht="18" customHeight="1" x14ac:dyDescent="0.25">
      <c r="B111" s="55"/>
      <c r="C111" s="56"/>
      <c r="D111" s="57"/>
      <c r="E111" s="57"/>
      <c r="F111" s="57"/>
      <c r="G111" s="57"/>
      <c r="H111" s="57"/>
      <c r="I111" s="57"/>
      <c r="J111" s="56"/>
      <c r="K111" s="57"/>
      <c r="L111" s="58"/>
      <c r="M111" s="21"/>
      <c r="N111" s="22"/>
      <c r="O111" s="1"/>
    </row>
    <row r="112" spans="2:15" s="3" customFormat="1" ht="18" customHeight="1" x14ac:dyDescent="0.25">
      <c r="B112" s="55"/>
      <c r="C112" s="56"/>
      <c r="D112" s="57"/>
      <c r="E112" s="57"/>
      <c r="F112" s="57"/>
      <c r="G112" s="57"/>
      <c r="H112" s="57"/>
      <c r="I112" s="57"/>
      <c r="J112" s="56"/>
      <c r="K112" s="57"/>
      <c r="L112" s="58"/>
      <c r="M112" s="21"/>
      <c r="N112" s="22"/>
      <c r="O112" s="1"/>
    </row>
    <row r="113" spans="2:15" s="3" customFormat="1" ht="18" customHeight="1" x14ac:dyDescent="0.25">
      <c r="B113" s="55"/>
      <c r="C113" s="56"/>
      <c r="D113" s="221" t="s">
        <v>66</v>
      </c>
      <c r="E113" s="221"/>
      <c r="F113" s="221"/>
      <c r="G113" s="221"/>
      <c r="H113" s="57"/>
      <c r="I113" s="221" t="s">
        <v>18</v>
      </c>
      <c r="J113" s="221"/>
      <c r="K113" s="221"/>
      <c r="L113" s="221"/>
      <c r="M113" s="21"/>
      <c r="N113" s="22"/>
      <c r="O113" s="1"/>
    </row>
    <row r="114" spans="2:15" s="3" customFormat="1" ht="18" customHeight="1" x14ac:dyDescent="0.25">
      <c r="B114" s="55"/>
      <c r="C114" s="56"/>
      <c r="D114" s="64" t="s">
        <v>116</v>
      </c>
      <c r="E114" s="64" t="s">
        <v>166</v>
      </c>
      <c r="F114" s="64" t="s">
        <v>163</v>
      </c>
      <c r="G114" s="64" t="s">
        <v>167</v>
      </c>
      <c r="H114" s="57"/>
      <c r="I114" s="64" t="s">
        <v>116</v>
      </c>
      <c r="J114" s="64" t="s">
        <v>166</v>
      </c>
      <c r="K114" s="64" t="s">
        <v>163</v>
      </c>
      <c r="L114" s="64" t="s">
        <v>167</v>
      </c>
      <c r="M114" s="21"/>
      <c r="N114" s="22"/>
      <c r="O114" s="1"/>
    </row>
    <row r="115" spans="2:15" s="3" customFormat="1" ht="18" customHeight="1" x14ac:dyDescent="0.25">
      <c r="B115" s="55"/>
      <c r="C115" s="56"/>
      <c r="D115" s="32" t="s">
        <v>34</v>
      </c>
      <c r="E115" s="75">
        <v>3</v>
      </c>
      <c r="F115" s="32">
        <v>35000</v>
      </c>
      <c r="G115" s="36">
        <f>+E115*F115</f>
        <v>105000</v>
      </c>
      <c r="H115" s="57"/>
      <c r="I115" s="32" t="s">
        <v>34</v>
      </c>
      <c r="J115" s="75">
        <v>28</v>
      </c>
      <c r="K115" s="32">
        <v>35000</v>
      </c>
      <c r="L115" s="36">
        <f>+J115*K115</f>
        <v>980000</v>
      </c>
      <c r="M115" s="21"/>
      <c r="N115" s="22"/>
      <c r="O115" s="1"/>
    </row>
    <row r="116" spans="2:15" s="3" customFormat="1" ht="18" customHeight="1" x14ac:dyDescent="0.25">
      <c r="B116" s="55"/>
      <c r="C116" s="56"/>
      <c r="D116" s="32" t="s">
        <v>21</v>
      </c>
      <c r="E116" s="75">
        <v>6</v>
      </c>
      <c r="F116" s="32">
        <v>35000</v>
      </c>
      <c r="G116" s="36">
        <f t="shared" ref="G116:G126" si="31">+E116*F116</f>
        <v>210000</v>
      </c>
      <c r="H116" s="57"/>
      <c r="I116" s="32" t="s">
        <v>21</v>
      </c>
      <c r="J116" s="75">
        <v>25</v>
      </c>
      <c r="K116" s="32">
        <v>35000</v>
      </c>
      <c r="L116" s="36">
        <f t="shared" ref="L116:L119" si="32">+J116*K116</f>
        <v>875000</v>
      </c>
      <c r="M116" s="21"/>
      <c r="N116" s="22"/>
      <c r="O116" s="1"/>
    </row>
    <row r="117" spans="2:15" s="3" customFormat="1" ht="18" customHeight="1" x14ac:dyDescent="0.25">
      <c r="B117" s="55"/>
      <c r="C117" s="56"/>
      <c r="D117" s="32" t="s">
        <v>22</v>
      </c>
      <c r="E117" s="75">
        <v>16</v>
      </c>
      <c r="F117" s="32">
        <v>35000</v>
      </c>
      <c r="G117" s="36">
        <f t="shared" si="31"/>
        <v>560000</v>
      </c>
      <c r="H117" s="57"/>
      <c r="I117" s="32" t="s">
        <v>22</v>
      </c>
      <c r="J117" s="75">
        <v>20</v>
      </c>
      <c r="K117" s="32">
        <v>35000</v>
      </c>
      <c r="L117" s="36">
        <f t="shared" si="32"/>
        <v>700000</v>
      </c>
      <c r="M117" s="21"/>
      <c r="N117" s="22"/>
      <c r="O117" s="1"/>
    </row>
    <row r="118" spans="2:15" s="3" customFormat="1" ht="18" customHeight="1" x14ac:dyDescent="0.25">
      <c r="B118" s="55"/>
      <c r="C118" s="56"/>
      <c r="D118" s="32" t="s">
        <v>23</v>
      </c>
      <c r="E118" s="75">
        <v>3</v>
      </c>
      <c r="F118" s="32">
        <v>35000</v>
      </c>
      <c r="G118" s="36">
        <f t="shared" si="31"/>
        <v>105000</v>
      </c>
      <c r="H118" s="57"/>
      <c r="I118" s="32" t="s">
        <v>23</v>
      </c>
      <c r="J118" s="75">
        <v>20</v>
      </c>
      <c r="K118" s="32">
        <v>35000</v>
      </c>
      <c r="L118" s="36">
        <f t="shared" si="32"/>
        <v>700000</v>
      </c>
      <c r="M118" s="21"/>
      <c r="N118" s="22"/>
      <c r="O118" s="1"/>
    </row>
    <row r="119" spans="2:15" s="3" customFormat="1" ht="18" customHeight="1" x14ac:dyDescent="0.25">
      <c r="B119" s="55"/>
      <c r="C119" s="56"/>
      <c r="D119" s="32" t="s">
        <v>24</v>
      </c>
      <c r="E119" s="75">
        <v>9.5</v>
      </c>
      <c r="F119" s="32">
        <v>35000</v>
      </c>
      <c r="G119" s="36">
        <f t="shared" si="31"/>
        <v>332500</v>
      </c>
      <c r="H119" s="57"/>
      <c r="I119" s="32" t="s">
        <v>24</v>
      </c>
      <c r="J119" s="75">
        <v>20</v>
      </c>
      <c r="K119" s="32">
        <v>35000</v>
      </c>
      <c r="L119" s="36">
        <f t="shared" si="32"/>
        <v>700000</v>
      </c>
      <c r="M119" s="21"/>
      <c r="N119" s="22"/>
      <c r="O119" s="1"/>
    </row>
    <row r="120" spans="2:15" s="3" customFormat="1" ht="18" customHeight="1" x14ac:dyDescent="0.25">
      <c r="B120" s="55"/>
      <c r="C120" s="56"/>
      <c r="D120" s="32" t="s">
        <v>25</v>
      </c>
      <c r="E120" s="75">
        <v>8</v>
      </c>
      <c r="F120" s="32">
        <v>35000</v>
      </c>
      <c r="G120" s="36">
        <f t="shared" si="31"/>
        <v>280000</v>
      </c>
      <c r="H120" s="57"/>
      <c r="I120" s="64" t="s">
        <v>36</v>
      </c>
      <c r="J120" s="76">
        <f>+SUM(J115:J119)</f>
        <v>113</v>
      </c>
      <c r="K120" s="36"/>
      <c r="L120" s="36">
        <f>+SUM(L115:L119)</f>
        <v>3955000</v>
      </c>
      <c r="M120" s="21"/>
      <c r="N120" s="22"/>
      <c r="O120" s="1"/>
    </row>
    <row r="121" spans="2:15" s="3" customFormat="1" ht="18" customHeight="1" x14ac:dyDescent="0.25">
      <c r="B121" s="55"/>
      <c r="C121" s="56"/>
      <c r="D121" s="32" t="s">
        <v>26</v>
      </c>
      <c r="E121" s="75">
        <v>10</v>
      </c>
      <c r="F121" s="32">
        <v>35000</v>
      </c>
      <c r="G121" s="36">
        <f t="shared" si="31"/>
        <v>350000</v>
      </c>
      <c r="H121" s="57"/>
      <c r="I121" s="57"/>
      <c r="J121" s="56"/>
      <c r="K121" s="57"/>
      <c r="L121" s="58"/>
      <c r="M121" s="21"/>
      <c r="N121" s="22"/>
      <c r="O121" s="1"/>
    </row>
    <row r="122" spans="2:15" s="3" customFormat="1" ht="18" customHeight="1" x14ac:dyDescent="0.25">
      <c r="B122" s="55"/>
      <c r="C122" s="56"/>
      <c r="D122" s="32" t="s">
        <v>27</v>
      </c>
      <c r="E122" s="75">
        <v>13</v>
      </c>
      <c r="F122" s="32">
        <v>35000</v>
      </c>
      <c r="G122" s="36">
        <f t="shared" si="31"/>
        <v>455000</v>
      </c>
      <c r="H122" s="57"/>
      <c r="I122" s="57"/>
      <c r="J122" s="56"/>
      <c r="K122" s="57"/>
      <c r="L122" s="58"/>
      <c r="M122" s="21"/>
      <c r="N122" s="22"/>
      <c r="O122" s="1"/>
    </row>
    <row r="123" spans="2:15" s="3" customFormat="1" ht="18" customHeight="1" x14ac:dyDescent="0.25">
      <c r="B123" s="55"/>
      <c r="C123" s="56"/>
      <c r="D123" s="32" t="s">
        <v>28</v>
      </c>
      <c r="E123" s="75">
        <v>22</v>
      </c>
      <c r="F123" s="32">
        <v>35000</v>
      </c>
      <c r="G123" s="36">
        <f t="shared" si="31"/>
        <v>770000</v>
      </c>
      <c r="H123" s="57"/>
      <c r="I123" s="57"/>
      <c r="J123" s="56"/>
      <c r="K123" s="57"/>
      <c r="L123" s="58"/>
      <c r="M123" s="21"/>
      <c r="N123" s="22"/>
      <c r="O123" s="1"/>
    </row>
    <row r="124" spans="2:15" s="3" customFormat="1" ht="18" customHeight="1" x14ac:dyDescent="0.25">
      <c r="B124" s="55"/>
      <c r="C124" s="56"/>
      <c r="D124" s="32" t="s">
        <v>29</v>
      </c>
      <c r="E124" s="75">
        <v>24</v>
      </c>
      <c r="F124" s="32">
        <v>35000</v>
      </c>
      <c r="G124" s="36">
        <f t="shared" si="31"/>
        <v>840000</v>
      </c>
      <c r="H124" s="57"/>
      <c r="I124" s="57"/>
      <c r="J124" s="56"/>
      <c r="K124" s="57"/>
      <c r="L124" s="58"/>
      <c r="M124" s="21"/>
      <c r="N124" s="22"/>
      <c r="O124" s="1"/>
    </row>
    <row r="125" spans="2:15" s="3" customFormat="1" ht="18" customHeight="1" x14ac:dyDescent="0.25">
      <c r="B125" s="55"/>
      <c r="C125" s="56"/>
      <c r="D125" s="32" t="s">
        <v>30</v>
      </c>
      <c r="E125" s="75">
        <v>31</v>
      </c>
      <c r="F125" s="32">
        <v>35000</v>
      </c>
      <c r="G125" s="36">
        <f t="shared" si="31"/>
        <v>1085000</v>
      </c>
      <c r="H125" s="57"/>
      <c r="I125" s="57"/>
      <c r="J125" s="56"/>
      <c r="K125" s="57"/>
      <c r="L125" s="58"/>
      <c r="M125" s="21"/>
      <c r="N125" s="22"/>
      <c r="O125" s="1"/>
    </row>
    <row r="126" spans="2:15" s="3" customFormat="1" ht="18" customHeight="1" x14ac:dyDescent="0.25">
      <c r="B126" s="55"/>
      <c r="C126" s="56"/>
      <c r="D126" s="32" t="s">
        <v>31</v>
      </c>
      <c r="E126" s="75">
        <v>24</v>
      </c>
      <c r="F126" s="32">
        <v>35000</v>
      </c>
      <c r="G126" s="36">
        <f t="shared" si="31"/>
        <v>840000</v>
      </c>
      <c r="H126" s="57"/>
      <c r="I126" s="57"/>
      <c r="J126" s="56"/>
      <c r="K126" s="57"/>
      <c r="L126" s="58"/>
      <c r="M126" s="21"/>
      <c r="N126" s="22"/>
      <c r="O126" s="1"/>
    </row>
    <row r="127" spans="2:15" s="3" customFormat="1" ht="18" customHeight="1" x14ac:dyDescent="0.25">
      <c r="B127" s="55"/>
      <c r="C127" s="56"/>
      <c r="D127" s="64" t="s">
        <v>36</v>
      </c>
      <c r="E127" s="77">
        <f>+SUM(E115:E126)</f>
        <v>169.5</v>
      </c>
      <c r="F127" s="36"/>
      <c r="G127" s="36">
        <f t="shared" ref="G127" si="33">+SUM(G115:G126)</f>
        <v>5932500</v>
      </c>
      <c r="H127" s="57"/>
      <c r="I127" s="57"/>
      <c r="J127" s="56"/>
      <c r="K127" s="57"/>
      <c r="L127" s="58"/>
      <c r="M127" s="21"/>
      <c r="N127" s="22"/>
      <c r="O127" s="1"/>
    </row>
    <row r="128" spans="2:15" s="3" customFormat="1" ht="18" customHeight="1" x14ac:dyDescent="0.25">
      <c r="B128" s="55"/>
      <c r="C128" s="56"/>
      <c r="D128" s="57"/>
      <c r="E128" s="57"/>
      <c r="F128" s="57"/>
      <c r="G128" s="57"/>
      <c r="H128" s="57"/>
      <c r="I128" s="57"/>
      <c r="J128" s="78"/>
      <c r="K128" s="57"/>
      <c r="L128" s="58"/>
      <c r="M128" s="21"/>
      <c r="N128" s="22"/>
      <c r="O128" s="1"/>
    </row>
    <row r="129" spans="2:15" s="3" customFormat="1" ht="18" customHeight="1" x14ac:dyDescent="0.25">
      <c r="B129" s="55"/>
      <c r="C129" s="56"/>
      <c r="D129" s="57"/>
      <c r="E129" s="57"/>
      <c r="F129" s="57"/>
      <c r="G129" s="57"/>
      <c r="H129" s="57"/>
      <c r="I129" s="57"/>
      <c r="J129" s="56"/>
      <c r="K129" s="57"/>
      <c r="L129" s="58"/>
      <c r="M129" s="21"/>
      <c r="N129" s="22"/>
      <c r="O129" s="1"/>
    </row>
    <row r="130" spans="2:15" s="3" customFormat="1" ht="18" customHeight="1" x14ac:dyDescent="0.25">
      <c r="B130" s="217" t="s">
        <v>168</v>
      </c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1"/>
    </row>
    <row r="131" spans="2:15" s="3" customFormat="1" ht="18" customHeight="1" x14ac:dyDescent="0.25">
      <c r="B131" s="55"/>
      <c r="C131" s="56"/>
      <c r="D131" s="57"/>
      <c r="E131" s="57"/>
      <c r="F131" s="57"/>
      <c r="G131" s="57"/>
      <c r="H131" s="57"/>
      <c r="I131" s="57"/>
      <c r="J131" s="56"/>
      <c r="K131" s="57"/>
      <c r="L131" s="58"/>
      <c r="M131" s="21"/>
      <c r="N131" s="22"/>
      <c r="O131" s="1"/>
    </row>
    <row r="132" spans="2:15" s="3" customFormat="1" ht="18" customHeight="1" x14ac:dyDescent="0.25">
      <c r="B132" s="55"/>
      <c r="C132" s="56"/>
      <c r="D132" s="57"/>
      <c r="E132" s="57"/>
      <c r="F132" s="57"/>
      <c r="G132" s="57"/>
      <c r="H132" s="57"/>
      <c r="I132" s="57"/>
      <c r="J132" s="56"/>
      <c r="K132" s="57"/>
      <c r="L132" s="58"/>
      <c r="M132" s="21"/>
      <c r="N132" s="22"/>
      <c r="O132" s="1"/>
    </row>
    <row r="133" spans="2:15" s="3" customFormat="1" ht="18" customHeight="1" x14ac:dyDescent="0.25">
      <c r="B133" s="55"/>
      <c r="C133" s="56"/>
      <c r="D133" s="221" t="s">
        <v>66</v>
      </c>
      <c r="E133" s="221"/>
      <c r="F133" s="74"/>
      <c r="G133" s="74"/>
      <c r="H133" s="57"/>
      <c r="I133" s="221" t="s">
        <v>104</v>
      </c>
      <c r="J133" s="221"/>
      <c r="K133" s="74"/>
      <c r="L133" s="74"/>
      <c r="M133" s="21"/>
      <c r="N133" s="22"/>
      <c r="O133" s="1"/>
    </row>
    <row r="134" spans="2:15" s="3" customFormat="1" ht="18" customHeight="1" x14ac:dyDescent="0.25">
      <c r="B134" s="55"/>
      <c r="C134" s="56"/>
      <c r="D134" s="64" t="s">
        <v>116</v>
      </c>
      <c r="E134" s="64" t="s">
        <v>49</v>
      </c>
      <c r="F134" s="62"/>
      <c r="G134" s="62"/>
      <c r="H134" s="57"/>
      <c r="I134" s="64" t="s">
        <v>116</v>
      </c>
      <c r="J134" s="64" t="s">
        <v>49</v>
      </c>
      <c r="K134" s="62"/>
      <c r="L134" s="62"/>
      <c r="M134" s="21"/>
      <c r="N134" s="22"/>
      <c r="O134" s="1"/>
    </row>
    <row r="135" spans="2:15" s="3" customFormat="1" ht="18" customHeight="1" x14ac:dyDescent="0.25">
      <c r="B135" s="55"/>
      <c r="C135" s="56"/>
      <c r="D135" s="79" t="s">
        <v>34</v>
      </c>
      <c r="E135" s="69">
        <v>2145100</v>
      </c>
      <c r="F135" s="35"/>
      <c r="G135" s="57"/>
      <c r="H135" s="57"/>
      <c r="I135" s="69" t="s">
        <v>34</v>
      </c>
      <c r="J135" s="69">
        <v>23000</v>
      </c>
      <c r="K135" s="35"/>
      <c r="L135" s="57"/>
      <c r="M135" s="21"/>
      <c r="N135" s="22"/>
      <c r="O135" s="1"/>
    </row>
    <row r="136" spans="2:15" s="3" customFormat="1" ht="18" customHeight="1" x14ac:dyDescent="0.25">
      <c r="B136" s="55"/>
      <c r="C136" s="56"/>
      <c r="D136" s="79" t="s">
        <v>21</v>
      </c>
      <c r="E136" s="69">
        <v>0</v>
      </c>
      <c r="F136" s="35"/>
      <c r="G136" s="57"/>
      <c r="H136" s="57"/>
      <c r="I136" s="69" t="s">
        <v>21</v>
      </c>
      <c r="J136" s="69">
        <v>0</v>
      </c>
      <c r="K136" s="35"/>
      <c r="L136" s="57"/>
      <c r="M136" s="21"/>
      <c r="N136" s="22"/>
      <c r="O136" s="1"/>
    </row>
    <row r="137" spans="2:15" s="3" customFormat="1" ht="18" customHeight="1" x14ac:dyDescent="0.25">
      <c r="B137" s="55"/>
      <c r="C137" s="56"/>
      <c r="D137" s="79" t="s">
        <v>22</v>
      </c>
      <c r="E137" s="69">
        <v>322250</v>
      </c>
      <c r="F137" s="35"/>
      <c r="G137" s="57"/>
      <c r="H137" s="57"/>
      <c r="I137" s="69" t="s">
        <v>22</v>
      </c>
      <c r="J137" s="69">
        <v>0</v>
      </c>
      <c r="K137" s="35"/>
      <c r="L137" s="57"/>
      <c r="M137" s="21"/>
      <c r="N137" s="22"/>
      <c r="O137" s="1"/>
    </row>
    <row r="138" spans="2:15" s="3" customFormat="1" ht="18" customHeight="1" x14ac:dyDescent="0.25">
      <c r="B138" s="55"/>
      <c r="C138" s="56"/>
      <c r="D138" s="79" t="s">
        <v>23</v>
      </c>
      <c r="E138" s="69">
        <v>36000</v>
      </c>
      <c r="F138" s="35"/>
      <c r="G138" s="57"/>
      <c r="H138" s="57"/>
      <c r="I138" s="69" t="s">
        <v>23</v>
      </c>
      <c r="J138" s="69">
        <v>23000</v>
      </c>
      <c r="K138" s="35"/>
      <c r="L138" s="57"/>
      <c r="M138" s="21"/>
      <c r="N138" s="22"/>
      <c r="O138" s="1"/>
    </row>
    <row r="139" spans="2:15" s="3" customFormat="1" ht="18" customHeight="1" x14ac:dyDescent="0.25">
      <c r="B139" s="55"/>
      <c r="C139" s="56"/>
      <c r="D139" s="79" t="s">
        <v>24</v>
      </c>
      <c r="E139" s="69">
        <v>15000</v>
      </c>
      <c r="F139" s="35"/>
      <c r="G139" s="57"/>
      <c r="H139" s="57"/>
      <c r="I139" s="69" t="s">
        <v>24</v>
      </c>
      <c r="J139" s="69">
        <v>0</v>
      </c>
      <c r="K139" s="35"/>
      <c r="L139" s="57"/>
      <c r="M139" s="21"/>
      <c r="N139" s="22"/>
      <c r="O139" s="1"/>
    </row>
    <row r="140" spans="2:15" s="3" customFormat="1" ht="18" customHeight="1" x14ac:dyDescent="0.25">
      <c r="B140" s="55"/>
      <c r="C140" s="56"/>
      <c r="D140" s="79" t="s">
        <v>25</v>
      </c>
      <c r="E140" s="69">
        <v>38000</v>
      </c>
      <c r="F140" s="35"/>
      <c r="G140" s="57"/>
      <c r="H140" s="57"/>
      <c r="I140" s="64" t="s">
        <v>36</v>
      </c>
      <c r="J140" s="64">
        <f>+SUM(J135:J139)</f>
        <v>46000</v>
      </c>
      <c r="K140" s="57"/>
      <c r="L140" s="57"/>
      <c r="M140" s="21"/>
      <c r="N140" s="22"/>
      <c r="O140" s="1"/>
    </row>
    <row r="141" spans="2:15" s="3" customFormat="1" ht="18" customHeight="1" x14ac:dyDescent="0.25">
      <c r="B141" s="55"/>
      <c r="C141" s="56"/>
      <c r="D141" s="79" t="s">
        <v>26</v>
      </c>
      <c r="E141" s="69">
        <v>0</v>
      </c>
      <c r="F141" s="35"/>
      <c r="G141" s="57"/>
      <c r="H141" s="57"/>
      <c r="I141" s="57"/>
      <c r="J141" s="56"/>
      <c r="K141" s="57"/>
      <c r="L141" s="58"/>
      <c r="M141" s="21"/>
      <c r="N141" s="22"/>
      <c r="O141" s="1"/>
    </row>
    <row r="142" spans="2:15" s="3" customFormat="1" ht="18" customHeight="1" x14ac:dyDescent="0.25">
      <c r="B142" s="55"/>
      <c r="C142" s="56"/>
      <c r="D142" s="79" t="s">
        <v>27</v>
      </c>
      <c r="E142" s="69">
        <v>60000</v>
      </c>
      <c r="F142" s="35"/>
      <c r="G142" s="57"/>
      <c r="H142" s="57"/>
      <c r="I142" s="57"/>
      <c r="J142" s="78"/>
      <c r="K142" s="57"/>
      <c r="L142" s="58"/>
      <c r="M142" s="21"/>
      <c r="N142" s="22"/>
      <c r="O142" s="1"/>
    </row>
    <row r="143" spans="2:15" s="3" customFormat="1" ht="18" customHeight="1" x14ac:dyDescent="0.25">
      <c r="B143" s="55"/>
      <c r="C143" s="56"/>
      <c r="D143" s="79" t="s">
        <v>28</v>
      </c>
      <c r="E143" s="69">
        <v>8000</v>
      </c>
      <c r="F143" s="35"/>
      <c r="G143" s="57"/>
      <c r="H143" s="57"/>
      <c r="I143" s="57"/>
      <c r="J143" s="56"/>
      <c r="K143" s="57"/>
      <c r="L143" s="58"/>
      <c r="M143" s="21"/>
      <c r="N143" s="22"/>
      <c r="O143" s="1"/>
    </row>
    <row r="144" spans="2:15" s="3" customFormat="1" ht="18" customHeight="1" x14ac:dyDescent="0.25">
      <c r="B144" s="55"/>
      <c r="C144" s="56"/>
      <c r="D144" s="79" t="s">
        <v>29</v>
      </c>
      <c r="E144" s="69">
        <v>23000</v>
      </c>
      <c r="F144" s="35"/>
      <c r="G144" s="57"/>
      <c r="H144" s="57"/>
      <c r="I144" s="57"/>
      <c r="J144" s="56"/>
      <c r="K144" s="57"/>
      <c r="L144" s="58"/>
      <c r="M144" s="21"/>
      <c r="N144" s="22"/>
      <c r="O144" s="1"/>
    </row>
    <row r="145" spans="2:15" s="3" customFormat="1" ht="18" customHeight="1" x14ac:dyDescent="0.25">
      <c r="B145" s="55"/>
      <c r="C145" s="56"/>
      <c r="D145" s="79" t="s">
        <v>30</v>
      </c>
      <c r="E145" s="69">
        <v>0</v>
      </c>
      <c r="F145" s="35"/>
      <c r="G145" s="57"/>
      <c r="H145" s="57"/>
      <c r="I145" s="57"/>
      <c r="J145" s="56"/>
      <c r="K145" s="57"/>
      <c r="L145" s="58"/>
      <c r="M145" s="21"/>
      <c r="N145" s="22"/>
      <c r="O145" s="1"/>
    </row>
    <row r="146" spans="2:15" s="3" customFormat="1" ht="18" customHeight="1" x14ac:dyDescent="0.25">
      <c r="B146" s="55"/>
      <c r="C146" s="56"/>
      <c r="D146" s="79" t="s">
        <v>31</v>
      </c>
      <c r="E146" s="69">
        <v>0</v>
      </c>
      <c r="F146" s="35"/>
      <c r="G146" s="57"/>
      <c r="H146" s="57"/>
      <c r="I146" s="57"/>
      <c r="J146" s="56"/>
      <c r="K146" s="57"/>
      <c r="L146" s="58"/>
      <c r="M146" s="21"/>
      <c r="N146" s="22"/>
      <c r="O146" s="1"/>
    </row>
    <row r="147" spans="2:15" s="3" customFormat="1" ht="18" customHeight="1" x14ac:dyDescent="0.25">
      <c r="B147" s="55"/>
      <c r="C147" s="56"/>
      <c r="D147" s="80" t="s">
        <v>36</v>
      </c>
      <c r="E147" s="80">
        <f>+SUM(E135:E146)</f>
        <v>2647350</v>
      </c>
      <c r="F147" s="57"/>
      <c r="G147" s="57"/>
      <c r="H147" s="57"/>
      <c r="I147" s="57"/>
      <c r="J147" s="56"/>
      <c r="K147" s="57"/>
      <c r="L147" s="58"/>
      <c r="M147" s="21"/>
      <c r="N147" s="22"/>
      <c r="O147" s="1"/>
    </row>
    <row r="148" spans="2:15" s="3" customFormat="1" ht="18" customHeight="1" x14ac:dyDescent="0.25">
      <c r="B148" s="55"/>
      <c r="C148" s="56"/>
      <c r="D148" s="57"/>
      <c r="E148" s="57"/>
      <c r="F148" s="57"/>
      <c r="G148" s="57"/>
      <c r="H148" s="57"/>
      <c r="I148" s="57"/>
      <c r="J148" s="56"/>
      <c r="K148" s="57"/>
      <c r="L148" s="58"/>
      <c r="M148" s="21"/>
      <c r="N148" s="22"/>
      <c r="O148" s="1"/>
    </row>
    <row r="149" spans="2:15" s="3" customFormat="1" ht="18" customHeight="1" x14ac:dyDescent="0.25">
      <c r="B149" s="55"/>
      <c r="C149" s="56"/>
      <c r="D149" s="57"/>
      <c r="E149" s="57"/>
      <c r="F149" s="57"/>
      <c r="G149" s="57"/>
      <c r="H149" s="57"/>
      <c r="I149" s="21"/>
      <c r="J149" s="21"/>
      <c r="K149" s="21"/>
      <c r="L149" s="21"/>
      <c r="M149" s="21"/>
      <c r="N149" s="22"/>
      <c r="O149" s="1"/>
    </row>
    <row r="150" spans="2:15" ht="26.25" customHeight="1" x14ac:dyDescent="0.25">
      <c r="B150" s="214" t="s">
        <v>19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6"/>
    </row>
    <row r="151" spans="2:15" x14ac:dyDescent="0.25">
      <c r="B151" s="18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N151" s="22"/>
    </row>
    <row r="152" spans="2:15" ht="15" customHeight="1" x14ac:dyDescent="0.25">
      <c r="B152" s="18"/>
      <c r="C152" s="211" t="s">
        <v>32</v>
      </c>
      <c r="D152" s="211"/>
      <c r="E152" s="211"/>
      <c r="F152" s="21"/>
      <c r="G152" s="44" t="s">
        <v>33</v>
      </c>
      <c r="H152" s="44"/>
      <c r="I152" s="44"/>
      <c r="J152" s="21"/>
      <c r="K152" s="21"/>
      <c r="L152" s="21"/>
      <c r="N152" s="22"/>
    </row>
    <row r="153" spans="2:15" x14ac:dyDescent="0.25">
      <c r="B153" s="18"/>
      <c r="C153" s="5" t="s">
        <v>116</v>
      </c>
      <c r="D153" s="5" t="s">
        <v>133</v>
      </c>
      <c r="E153" s="5" t="s">
        <v>49</v>
      </c>
      <c r="F153" s="21"/>
      <c r="G153" s="5" t="s">
        <v>116</v>
      </c>
      <c r="H153" s="5" t="s">
        <v>133</v>
      </c>
      <c r="I153" s="5" t="s">
        <v>49</v>
      </c>
      <c r="J153" s="21"/>
      <c r="K153" s="21"/>
      <c r="L153" s="21"/>
      <c r="N153" s="22"/>
    </row>
    <row r="154" spans="2:15" x14ac:dyDescent="0.25">
      <c r="B154" s="18"/>
      <c r="C154" s="29" t="s">
        <v>34</v>
      </c>
      <c r="D154" s="29">
        <f t="shared" ref="D154:D165" si="34">+D32</f>
        <v>0</v>
      </c>
      <c r="E154" s="32">
        <f>+D154*PRODUCTO!$E$9</f>
        <v>0</v>
      </c>
      <c r="F154" s="21"/>
      <c r="G154" s="29" t="s">
        <v>34</v>
      </c>
      <c r="H154" s="29">
        <f>+H32</f>
        <v>1890</v>
      </c>
      <c r="I154" s="32">
        <f>+H154*PRODUCTO!$E$9</f>
        <v>3294270</v>
      </c>
      <c r="J154" s="21"/>
      <c r="K154" s="21"/>
      <c r="L154" s="21"/>
      <c r="N154" s="22"/>
    </row>
    <row r="155" spans="2:15" x14ac:dyDescent="0.25">
      <c r="B155" s="18"/>
      <c r="C155" s="29" t="s">
        <v>21</v>
      </c>
      <c r="D155" s="29">
        <f t="shared" si="34"/>
        <v>0</v>
      </c>
      <c r="E155" s="32">
        <f>+D155*PRODUCTO!$E$9</f>
        <v>0</v>
      </c>
      <c r="F155" s="21"/>
      <c r="G155" s="29" t="s">
        <v>21</v>
      </c>
      <c r="H155" s="29">
        <f>+H33</f>
        <v>1690</v>
      </c>
      <c r="I155" s="32">
        <f>+H155*PRODUCTO!$E$9</f>
        <v>2945670</v>
      </c>
      <c r="J155" s="21"/>
      <c r="K155" s="21"/>
      <c r="L155" s="21"/>
      <c r="N155" s="22"/>
    </row>
    <row r="156" spans="2:15" x14ac:dyDescent="0.25">
      <c r="B156" s="18"/>
      <c r="C156" s="29" t="s">
        <v>22</v>
      </c>
      <c r="D156" s="29">
        <f t="shared" si="34"/>
        <v>0</v>
      </c>
      <c r="E156" s="32">
        <f>+D156*PRODUCTO!$E$9</f>
        <v>0</v>
      </c>
      <c r="F156" s="21"/>
      <c r="G156" s="29" t="s">
        <v>22</v>
      </c>
      <c r="H156" s="29">
        <f>+H34</f>
        <v>1680</v>
      </c>
      <c r="I156" s="32">
        <f>+H156*PRODUCTO!$E$9</f>
        <v>2928240</v>
      </c>
      <c r="J156" s="21"/>
      <c r="K156" s="21"/>
      <c r="L156" s="21"/>
      <c r="N156" s="22"/>
    </row>
    <row r="157" spans="2:15" x14ac:dyDescent="0.25">
      <c r="B157" s="18"/>
      <c r="C157" s="29" t="s">
        <v>23</v>
      </c>
      <c r="D157" s="29">
        <f t="shared" si="34"/>
        <v>0</v>
      </c>
      <c r="E157" s="32">
        <f>+D157*PRODUCTO!$E$9</f>
        <v>0</v>
      </c>
      <c r="F157" s="21"/>
      <c r="G157" s="29" t="s">
        <v>23</v>
      </c>
      <c r="H157" s="29">
        <f>+H35</f>
        <v>1320</v>
      </c>
      <c r="I157" s="32">
        <f>+H157*PRODUCTO!$E$9</f>
        <v>2300760</v>
      </c>
      <c r="J157" s="21"/>
      <c r="K157" s="21"/>
      <c r="L157" s="21"/>
      <c r="N157" s="22"/>
    </row>
    <row r="158" spans="2:15" x14ac:dyDescent="0.25">
      <c r="B158" s="18"/>
      <c r="C158" s="29" t="s">
        <v>24</v>
      </c>
      <c r="D158" s="29">
        <f t="shared" si="34"/>
        <v>160</v>
      </c>
      <c r="E158" s="32">
        <f>+D158*PRODUCTO!$E$9</f>
        <v>278880</v>
      </c>
      <c r="F158" s="21"/>
      <c r="G158" s="29" t="s">
        <v>24</v>
      </c>
      <c r="H158" s="29">
        <f>+H36</f>
        <v>1100</v>
      </c>
      <c r="I158" s="32">
        <f>+H158*PRODUCTO!$E$9</f>
        <v>1917300</v>
      </c>
      <c r="J158" s="21"/>
      <c r="K158" s="21"/>
      <c r="L158" s="21"/>
      <c r="N158" s="22"/>
    </row>
    <row r="159" spans="2:15" x14ac:dyDescent="0.25">
      <c r="B159" s="18"/>
      <c r="C159" s="29" t="s">
        <v>25</v>
      </c>
      <c r="D159" s="29">
        <f t="shared" si="34"/>
        <v>0</v>
      </c>
      <c r="E159" s="32">
        <f>+D159*PRODUCTO!$E$9</f>
        <v>0</v>
      </c>
      <c r="F159" s="21"/>
      <c r="G159" s="42" t="s">
        <v>16</v>
      </c>
      <c r="H159" s="5">
        <f>+SUM(H154:H158)</f>
        <v>7680</v>
      </c>
      <c r="I159" s="36">
        <f>+SUM(I154:I158)</f>
        <v>13386240</v>
      </c>
      <c r="J159" s="21"/>
      <c r="K159" s="21"/>
      <c r="L159" s="21"/>
      <c r="N159" s="22"/>
    </row>
    <row r="160" spans="2:15" x14ac:dyDescent="0.25">
      <c r="B160" s="18"/>
      <c r="C160" s="29" t="s">
        <v>26</v>
      </c>
      <c r="D160" s="29">
        <f t="shared" si="34"/>
        <v>510</v>
      </c>
      <c r="E160" s="32">
        <f>+D160*PRODUCTO!$E$9</f>
        <v>888930</v>
      </c>
      <c r="F160" s="21"/>
      <c r="G160" s="21"/>
      <c r="H160" s="21"/>
      <c r="I160" s="21"/>
      <c r="J160" s="21"/>
      <c r="K160" s="21"/>
      <c r="L160" s="21"/>
      <c r="N160" s="22"/>
    </row>
    <row r="161" spans="2:14" x14ac:dyDescent="0.25">
      <c r="B161" s="18"/>
      <c r="C161" s="29" t="s">
        <v>27</v>
      </c>
      <c r="D161" s="29">
        <f t="shared" si="34"/>
        <v>1270</v>
      </c>
      <c r="E161" s="32">
        <f>+D161*PRODUCTO!$E$9</f>
        <v>2213610</v>
      </c>
      <c r="F161" s="21"/>
      <c r="G161" s="21"/>
      <c r="H161" s="21"/>
      <c r="I161" s="21"/>
      <c r="J161" s="21"/>
      <c r="K161" s="21"/>
      <c r="L161" s="21"/>
      <c r="N161" s="22"/>
    </row>
    <row r="162" spans="2:14" x14ac:dyDescent="0.25">
      <c r="B162" s="18"/>
      <c r="C162" s="29" t="s">
        <v>28</v>
      </c>
      <c r="D162" s="29">
        <f t="shared" si="34"/>
        <v>1590</v>
      </c>
      <c r="E162" s="32">
        <f>+D162*PRODUCTO!$E$9</f>
        <v>2771370</v>
      </c>
      <c r="F162" s="21"/>
      <c r="G162" s="21"/>
      <c r="H162" s="21"/>
      <c r="I162" s="21"/>
      <c r="J162" s="21"/>
      <c r="K162" s="21"/>
      <c r="L162" s="21"/>
      <c r="N162" s="22"/>
    </row>
    <row r="163" spans="2:14" x14ac:dyDescent="0.25">
      <c r="B163" s="18"/>
      <c r="C163" s="29" t="s">
        <v>29</v>
      </c>
      <c r="D163" s="29">
        <f t="shared" si="34"/>
        <v>1900</v>
      </c>
      <c r="E163" s="32">
        <f>+D163*PRODUCTO!$E$9</f>
        <v>3311700</v>
      </c>
      <c r="F163" s="21"/>
      <c r="G163" s="21"/>
      <c r="H163" s="21"/>
      <c r="I163" s="21"/>
      <c r="J163" s="21"/>
      <c r="K163" s="21"/>
      <c r="L163" s="21"/>
      <c r="N163" s="22"/>
    </row>
    <row r="164" spans="2:14" ht="16.5" customHeight="1" x14ac:dyDescent="0.25">
      <c r="B164" s="18"/>
      <c r="C164" s="29" t="s">
        <v>30</v>
      </c>
      <c r="D164" s="29">
        <f t="shared" si="34"/>
        <v>2100</v>
      </c>
      <c r="E164" s="32">
        <f>+D164*PRODUCTO!$E$9</f>
        <v>3660300</v>
      </c>
      <c r="F164" s="21"/>
      <c r="G164" s="21"/>
      <c r="H164" s="21"/>
      <c r="I164" s="60"/>
      <c r="J164" s="60"/>
      <c r="K164" s="60"/>
      <c r="L164" s="60"/>
      <c r="N164" s="22"/>
    </row>
    <row r="165" spans="2:14" x14ac:dyDescent="0.25">
      <c r="B165" s="18"/>
      <c r="C165" s="29" t="s">
        <v>31</v>
      </c>
      <c r="D165" s="29">
        <f t="shared" si="34"/>
        <v>1930</v>
      </c>
      <c r="E165" s="32">
        <f>+D165*PRODUCTO!$E$9</f>
        <v>3363990</v>
      </c>
      <c r="F165" s="21"/>
      <c r="G165" s="21"/>
      <c r="H165" s="21"/>
      <c r="I165" s="21"/>
      <c r="J165" s="63"/>
      <c r="K165" s="56"/>
      <c r="L165" s="57"/>
      <c r="N165" s="22"/>
    </row>
    <row r="166" spans="2:14" x14ac:dyDescent="0.25">
      <c r="B166" s="18"/>
      <c r="C166" s="42" t="s">
        <v>16</v>
      </c>
      <c r="D166" s="5">
        <f>+SUM(D154:D165)</f>
        <v>9460</v>
      </c>
      <c r="E166" s="36">
        <f>+SUM(E154:E165)</f>
        <v>16488780</v>
      </c>
      <c r="F166" s="21"/>
      <c r="G166" s="37"/>
      <c r="H166" s="35"/>
      <c r="I166" s="21"/>
      <c r="J166" s="56"/>
      <c r="K166" s="57"/>
      <c r="L166" s="58"/>
      <c r="N166" s="22"/>
    </row>
    <row r="167" spans="2:14" x14ac:dyDescent="0.25">
      <c r="B167" s="18"/>
      <c r="C167" s="21"/>
      <c r="D167" s="21"/>
      <c r="E167" s="21"/>
      <c r="F167" s="21"/>
      <c r="G167" s="21"/>
      <c r="H167" s="81"/>
      <c r="I167" s="21"/>
      <c r="J167" s="56"/>
      <c r="K167" s="57"/>
      <c r="L167" s="58"/>
      <c r="N167" s="22"/>
    </row>
    <row r="168" spans="2:14" x14ac:dyDescent="0.25">
      <c r="B168" s="18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N168" s="22"/>
    </row>
    <row r="169" spans="2:14" ht="26.25" customHeight="1" x14ac:dyDescent="0.25">
      <c r="B169" s="227" t="s">
        <v>151</v>
      </c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9"/>
    </row>
    <row r="170" spans="2:14" ht="26.25" x14ac:dyDescent="0.25">
      <c r="B170" s="59"/>
      <c r="C170" s="60"/>
      <c r="D170" s="60"/>
      <c r="E170" s="60"/>
      <c r="F170" s="60"/>
      <c r="G170" s="60"/>
      <c r="H170" s="60"/>
      <c r="I170" s="21"/>
      <c r="J170" s="56"/>
      <c r="K170" s="57"/>
      <c r="L170" s="58"/>
      <c r="M170" s="60"/>
      <c r="N170" s="61"/>
    </row>
    <row r="171" spans="2:14" x14ac:dyDescent="0.25">
      <c r="B171" s="55"/>
      <c r="C171" s="56"/>
      <c r="D171" s="62"/>
      <c r="E171" s="56"/>
      <c r="F171" s="62"/>
      <c r="G171" s="218" t="s">
        <v>149</v>
      </c>
      <c r="H171" s="218"/>
      <c r="I171" s="218"/>
      <c r="J171" s="218"/>
      <c r="K171" s="57"/>
      <c r="L171" s="58"/>
      <c r="M171" s="58"/>
      <c r="N171" s="22"/>
    </row>
    <row r="172" spans="2:14" x14ac:dyDescent="0.25">
      <c r="B172" s="55"/>
      <c r="C172" s="56"/>
      <c r="D172" s="64" t="s">
        <v>116</v>
      </c>
      <c r="E172" s="64" t="s">
        <v>47</v>
      </c>
      <c r="F172" s="5" t="s">
        <v>46</v>
      </c>
      <c r="G172" s="65">
        <v>30</v>
      </c>
      <c r="H172" s="27">
        <v>60</v>
      </c>
      <c r="I172" s="65">
        <v>90</v>
      </c>
      <c r="J172" s="211" t="s">
        <v>36</v>
      </c>
      <c r="K172" s="57"/>
      <c r="L172" s="58"/>
      <c r="N172" s="22"/>
    </row>
    <row r="173" spans="2:14" x14ac:dyDescent="0.25">
      <c r="B173" s="55"/>
      <c r="C173" s="56"/>
      <c r="D173" s="64"/>
      <c r="E173" s="64"/>
      <c r="F173" s="66">
        <v>1</v>
      </c>
      <c r="G173" s="67">
        <v>0</v>
      </c>
      <c r="H173" s="68">
        <v>0</v>
      </c>
      <c r="I173" s="67">
        <v>0</v>
      </c>
      <c r="J173" s="211"/>
      <c r="K173" s="57"/>
      <c r="L173" s="58"/>
      <c r="N173" s="22"/>
    </row>
    <row r="174" spans="2:14" x14ac:dyDescent="0.25">
      <c r="B174" s="55"/>
      <c r="C174" s="56"/>
      <c r="D174" s="69" t="s">
        <v>34</v>
      </c>
      <c r="E174" s="32">
        <f t="shared" ref="E174:E185" si="35">+E154</f>
        <v>0</v>
      </c>
      <c r="F174" s="69">
        <f t="shared" ref="F174:F185" si="36">+E174*$F$173</f>
        <v>0</v>
      </c>
      <c r="G174" s="32"/>
      <c r="H174" s="69"/>
      <c r="I174" s="32"/>
      <c r="J174" s="70">
        <f>+F174+G174+H174+I174</f>
        <v>0</v>
      </c>
      <c r="K174" s="57"/>
      <c r="L174" s="58"/>
      <c r="N174" s="22"/>
    </row>
    <row r="175" spans="2:14" x14ac:dyDescent="0.25">
      <c r="B175" s="55"/>
      <c r="C175" s="56"/>
      <c r="D175" s="69" t="s">
        <v>21</v>
      </c>
      <c r="E175" s="32">
        <f t="shared" si="35"/>
        <v>0</v>
      </c>
      <c r="F175" s="69">
        <f t="shared" si="36"/>
        <v>0</v>
      </c>
      <c r="G175" s="32">
        <f>+E174*$G$173</f>
        <v>0</v>
      </c>
      <c r="H175" s="69"/>
      <c r="I175" s="32"/>
      <c r="J175" s="70">
        <f t="shared" ref="J175:J186" si="37">+F175+G175+H175+I175</f>
        <v>0</v>
      </c>
      <c r="K175" s="57"/>
      <c r="L175" s="58"/>
      <c r="N175" s="22"/>
    </row>
    <row r="176" spans="2:14" x14ac:dyDescent="0.25">
      <c r="B176" s="55"/>
      <c r="C176" s="56"/>
      <c r="D176" s="69" t="s">
        <v>22</v>
      </c>
      <c r="E176" s="32">
        <f t="shared" si="35"/>
        <v>0</v>
      </c>
      <c r="F176" s="69">
        <f t="shared" si="36"/>
        <v>0</v>
      </c>
      <c r="G176" s="32">
        <f t="shared" ref="G176:G185" si="38">+E175*$G$173</f>
        <v>0</v>
      </c>
      <c r="H176" s="69">
        <f>+E174*$H$173</f>
        <v>0</v>
      </c>
      <c r="I176" s="32"/>
      <c r="J176" s="70">
        <f t="shared" si="37"/>
        <v>0</v>
      </c>
      <c r="K176" s="57"/>
      <c r="L176" s="58"/>
      <c r="N176" s="22"/>
    </row>
    <row r="177" spans="2:14" x14ac:dyDescent="0.25">
      <c r="B177" s="55"/>
      <c r="C177" s="56"/>
      <c r="D177" s="69" t="s">
        <v>23</v>
      </c>
      <c r="E177" s="32">
        <f t="shared" si="35"/>
        <v>0</v>
      </c>
      <c r="F177" s="69">
        <f t="shared" si="36"/>
        <v>0</v>
      </c>
      <c r="G177" s="32">
        <f t="shared" si="38"/>
        <v>0</v>
      </c>
      <c r="H177" s="69">
        <f t="shared" ref="H177:H185" si="39">+E175*$H$173</f>
        <v>0</v>
      </c>
      <c r="I177" s="32">
        <f t="shared" ref="I177:I185" si="40">+E174*$I$173</f>
        <v>0</v>
      </c>
      <c r="J177" s="70">
        <f t="shared" si="37"/>
        <v>0</v>
      </c>
      <c r="K177" s="57"/>
      <c r="L177" s="58"/>
      <c r="N177" s="22"/>
    </row>
    <row r="178" spans="2:14" x14ac:dyDescent="0.25">
      <c r="B178" s="55"/>
      <c r="C178" s="56"/>
      <c r="D178" s="69" t="s">
        <v>24</v>
      </c>
      <c r="E178" s="32">
        <f t="shared" si="35"/>
        <v>278880</v>
      </c>
      <c r="F178" s="69">
        <f t="shared" si="36"/>
        <v>278880</v>
      </c>
      <c r="G178" s="32">
        <f t="shared" si="38"/>
        <v>0</v>
      </c>
      <c r="H178" s="69">
        <f t="shared" si="39"/>
        <v>0</v>
      </c>
      <c r="I178" s="32">
        <f t="shared" si="40"/>
        <v>0</v>
      </c>
      <c r="J178" s="70">
        <f t="shared" si="37"/>
        <v>278880</v>
      </c>
      <c r="K178" s="57"/>
      <c r="L178" s="58"/>
      <c r="N178" s="22"/>
    </row>
    <row r="179" spans="2:14" x14ac:dyDescent="0.25">
      <c r="B179" s="55"/>
      <c r="C179" s="56"/>
      <c r="D179" s="69" t="s">
        <v>25</v>
      </c>
      <c r="E179" s="32">
        <f t="shared" si="35"/>
        <v>0</v>
      </c>
      <c r="F179" s="69">
        <f t="shared" si="36"/>
        <v>0</v>
      </c>
      <c r="G179" s="32">
        <f t="shared" si="38"/>
        <v>0</v>
      </c>
      <c r="H179" s="69">
        <f t="shared" si="39"/>
        <v>0</v>
      </c>
      <c r="I179" s="32">
        <f t="shared" si="40"/>
        <v>0</v>
      </c>
      <c r="J179" s="70">
        <f t="shared" si="37"/>
        <v>0</v>
      </c>
      <c r="K179" s="57"/>
      <c r="L179" s="58"/>
      <c r="N179" s="22"/>
    </row>
    <row r="180" spans="2:14" x14ac:dyDescent="0.25">
      <c r="B180" s="55"/>
      <c r="C180" s="56"/>
      <c r="D180" s="69" t="s">
        <v>26</v>
      </c>
      <c r="E180" s="32">
        <f t="shared" si="35"/>
        <v>888930</v>
      </c>
      <c r="F180" s="69">
        <f t="shared" si="36"/>
        <v>888930</v>
      </c>
      <c r="G180" s="32">
        <f t="shared" si="38"/>
        <v>0</v>
      </c>
      <c r="H180" s="69">
        <f t="shared" si="39"/>
        <v>0</v>
      </c>
      <c r="I180" s="32">
        <f t="shared" si="40"/>
        <v>0</v>
      </c>
      <c r="J180" s="70">
        <f t="shared" si="37"/>
        <v>888930</v>
      </c>
      <c r="K180" s="57"/>
      <c r="L180" s="58"/>
      <c r="N180" s="22"/>
    </row>
    <row r="181" spans="2:14" x14ac:dyDescent="0.25">
      <c r="B181" s="55"/>
      <c r="C181" s="56"/>
      <c r="D181" s="69" t="s">
        <v>27</v>
      </c>
      <c r="E181" s="32">
        <f t="shared" si="35"/>
        <v>2213610</v>
      </c>
      <c r="F181" s="69">
        <f t="shared" si="36"/>
        <v>2213610</v>
      </c>
      <c r="G181" s="32">
        <f t="shared" si="38"/>
        <v>0</v>
      </c>
      <c r="H181" s="69">
        <f t="shared" si="39"/>
        <v>0</v>
      </c>
      <c r="I181" s="32">
        <f t="shared" si="40"/>
        <v>0</v>
      </c>
      <c r="J181" s="70">
        <f t="shared" si="37"/>
        <v>2213610</v>
      </c>
      <c r="K181" s="57"/>
      <c r="L181" s="58"/>
      <c r="N181" s="22"/>
    </row>
    <row r="182" spans="2:14" x14ac:dyDescent="0.25">
      <c r="B182" s="55"/>
      <c r="C182" s="56"/>
      <c r="D182" s="69" t="s">
        <v>28</v>
      </c>
      <c r="E182" s="32">
        <f t="shared" si="35"/>
        <v>2771370</v>
      </c>
      <c r="F182" s="69">
        <f t="shared" si="36"/>
        <v>2771370</v>
      </c>
      <c r="G182" s="32">
        <f t="shared" si="38"/>
        <v>0</v>
      </c>
      <c r="H182" s="69">
        <f t="shared" si="39"/>
        <v>0</v>
      </c>
      <c r="I182" s="32">
        <f t="shared" si="40"/>
        <v>0</v>
      </c>
      <c r="J182" s="70">
        <f t="shared" si="37"/>
        <v>2771370</v>
      </c>
      <c r="K182" s="57"/>
      <c r="L182" s="58"/>
      <c r="N182" s="22"/>
    </row>
    <row r="183" spans="2:14" x14ac:dyDescent="0.25">
      <c r="B183" s="55"/>
      <c r="C183" s="56"/>
      <c r="D183" s="69" t="s">
        <v>29</v>
      </c>
      <c r="E183" s="32">
        <f t="shared" si="35"/>
        <v>3311700</v>
      </c>
      <c r="F183" s="69">
        <f t="shared" si="36"/>
        <v>3311700</v>
      </c>
      <c r="G183" s="32">
        <f t="shared" si="38"/>
        <v>0</v>
      </c>
      <c r="H183" s="69">
        <f t="shared" si="39"/>
        <v>0</v>
      </c>
      <c r="I183" s="32">
        <f t="shared" si="40"/>
        <v>0</v>
      </c>
      <c r="J183" s="70">
        <f t="shared" si="37"/>
        <v>3311700</v>
      </c>
      <c r="K183" s="57"/>
      <c r="L183" s="58"/>
      <c r="N183" s="22"/>
    </row>
    <row r="184" spans="2:14" x14ac:dyDescent="0.25">
      <c r="B184" s="55"/>
      <c r="C184" s="56"/>
      <c r="D184" s="69" t="s">
        <v>30</v>
      </c>
      <c r="E184" s="32">
        <f t="shared" si="35"/>
        <v>3660300</v>
      </c>
      <c r="F184" s="69">
        <f t="shared" si="36"/>
        <v>3660300</v>
      </c>
      <c r="G184" s="32">
        <f t="shared" si="38"/>
        <v>0</v>
      </c>
      <c r="H184" s="69">
        <f t="shared" si="39"/>
        <v>0</v>
      </c>
      <c r="I184" s="32">
        <f t="shared" si="40"/>
        <v>0</v>
      </c>
      <c r="J184" s="70">
        <f t="shared" si="37"/>
        <v>3660300</v>
      </c>
      <c r="K184" s="57"/>
      <c r="L184" s="58"/>
      <c r="N184" s="22"/>
    </row>
    <row r="185" spans="2:14" x14ac:dyDescent="0.25">
      <c r="B185" s="55"/>
      <c r="C185" s="56"/>
      <c r="D185" s="69" t="s">
        <v>31</v>
      </c>
      <c r="E185" s="32">
        <f t="shared" si="35"/>
        <v>3363990</v>
      </c>
      <c r="F185" s="69">
        <f t="shared" si="36"/>
        <v>3363990</v>
      </c>
      <c r="G185" s="32">
        <f t="shared" si="38"/>
        <v>0</v>
      </c>
      <c r="H185" s="69">
        <f t="shared" si="39"/>
        <v>0</v>
      </c>
      <c r="I185" s="32">
        <f t="shared" si="40"/>
        <v>0</v>
      </c>
      <c r="J185" s="70">
        <f t="shared" si="37"/>
        <v>3363990</v>
      </c>
      <c r="K185" s="57"/>
      <c r="L185" s="58"/>
      <c r="N185" s="22"/>
    </row>
    <row r="186" spans="2:14" x14ac:dyDescent="0.25">
      <c r="B186" s="55"/>
      <c r="C186" s="56"/>
      <c r="D186" s="80" t="s">
        <v>16</v>
      </c>
      <c r="E186" s="36">
        <f>+SUM(E174:E185)</f>
        <v>16488780</v>
      </c>
      <c r="F186" s="36">
        <f t="shared" ref="F186:H186" si="41">+SUM(F174:F185)</f>
        <v>16488780</v>
      </c>
      <c r="G186" s="36">
        <f t="shared" si="41"/>
        <v>0</v>
      </c>
      <c r="H186" s="36">
        <f t="shared" si="41"/>
        <v>0</v>
      </c>
      <c r="I186" s="36">
        <f>+SUM(I174:I185)</f>
        <v>0</v>
      </c>
      <c r="J186" s="72">
        <f t="shared" si="37"/>
        <v>16488780</v>
      </c>
      <c r="K186" s="57"/>
      <c r="L186" s="58"/>
      <c r="N186" s="22"/>
    </row>
    <row r="187" spans="2:14" x14ac:dyDescent="0.25">
      <c r="B187" s="55"/>
      <c r="C187" s="56"/>
      <c r="D187" s="57"/>
      <c r="E187" s="57"/>
      <c r="F187" s="57"/>
      <c r="G187" s="234" t="s">
        <v>150</v>
      </c>
      <c r="H187" s="235"/>
      <c r="I187" s="82">
        <f>+E186-F186</f>
        <v>0</v>
      </c>
      <c r="J187" s="56"/>
      <c r="K187" s="57"/>
      <c r="L187" s="58"/>
      <c r="N187" s="22"/>
    </row>
    <row r="188" spans="2:14" x14ac:dyDescent="0.25">
      <c r="B188" s="55"/>
      <c r="C188" s="56"/>
      <c r="D188" s="57"/>
      <c r="E188" s="57"/>
      <c r="F188" s="57"/>
      <c r="G188" s="57"/>
      <c r="H188" s="57"/>
      <c r="I188" s="66">
        <f>+I187/E186</f>
        <v>0</v>
      </c>
      <c r="J188" s="56"/>
      <c r="K188" s="57"/>
      <c r="L188" s="58"/>
      <c r="N188" s="22"/>
    </row>
    <row r="189" spans="2:14" x14ac:dyDescent="0.25">
      <c r="B189" s="55"/>
      <c r="C189" s="56"/>
      <c r="D189" s="57"/>
      <c r="E189" s="57"/>
      <c r="F189" s="57"/>
      <c r="G189" s="57"/>
      <c r="H189" s="57"/>
      <c r="I189" s="21"/>
      <c r="J189" s="56"/>
      <c r="K189" s="57"/>
      <c r="L189" s="58"/>
      <c r="N189" s="22"/>
    </row>
    <row r="190" spans="2:14" x14ac:dyDescent="0.25">
      <c r="B190" s="55"/>
      <c r="C190" s="56"/>
      <c r="D190" s="57"/>
      <c r="E190" s="57"/>
      <c r="F190" s="57"/>
      <c r="G190" s="57"/>
      <c r="H190" s="57"/>
      <c r="I190" s="21"/>
      <c r="J190" s="56"/>
      <c r="K190" s="57"/>
      <c r="L190" s="58"/>
      <c r="N190" s="22"/>
    </row>
    <row r="191" spans="2:14" x14ac:dyDescent="0.25">
      <c r="B191" s="55"/>
      <c r="C191" s="56"/>
      <c r="D191" s="62"/>
      <c r="E191" s="56"/>
      <c r="F191" s="62"/>
      <c r="G191" s="221" t="s">
        <v>149</v>
      </c>
      <c r="H191" s="221"/>
      <c r="I191" s="221"/>
      <c r="J191" s="221"/>
      <c r="K191" s="57"/>
      <c r="L191" s="58"/>
      <c r="N191" s="22"/>
    </row>
    <row r="192" spans="2:14" x14ac:dyDescent="0.25">
      <c r="B192" s="55"/>
      <c r="C192" s="56"/>
      <c r="D192" s="64" t="s">
        <v>116</v>
      </c>
      <c r="E192" s="64" t="s">
        <v>147</v>
      </c>
      <c r="F192" s="5" t="s">
        <v>46</v>
      </c>
      <c r="G192" s="65">
        <v>30</v>
      </c>
      <c r="H192" s="27">
        <v>60</v>
      </c>
      <c r="I192" s="65">
        <v>90</v>
      </c>
      <c r="J192" s="211" t="s">
        <v>36</v>
      </c>
      <c r="K192" s="57"/>
      <c r="L192" s="58"/>
      <c r="N192" s="22"/>
    </row>
    <row r="193" spans="2:14" x14ac:dyDescent="0.25">
      <c r="B193" s="55"/>
      <c r="C193" s="56"/>
      <c r="D193" s="64"/>
      <c r="E193" s="64"/>
      <c r="F193" s="66">
        <v>1</v>
      </c>
      <c r="G193" s="67">
        <v>0</v>
      </c>
      <c r="H193" s="68">
        <v>0</v>
      </c>
      <c r="I193" s="67">
        <v>0</v>
      </c>
      <c r="J193" s="211"/>
      <c r="K193" s="57"/>
      <c r="L193" s="58"/>
      <c r="N193" s="22"/>
    </row>
    <row r="194" spans="2:14" x14ac:dyDescent="0.25">
      <c r="B194" s="55"/>
      <c r="C194" s="56"/>
      <c r="D194" s="69" t="s">
        <v>34</v>
      </c>
      <c r="E194" s="32">
        <f>+I154</f>
        <v>3294270</v>
      </c>
      <c r="F194" s="69">
        <f>+E194*$F$193</f>
        <v>3294270</v>
      </c>
      <c r="G194" s="32">
        <f>+E185*$G$193</f>
        <v>0</v>
      </c>
      <c r="H194" s="69">
        <f>+E184*$H$193</f>
        <v>0</v>
      </c>
      <c r="I194" s="32">
        <f>+E183*$I$193</f>
        <v>0</v>
      </c>
      <c r="J194" s="70">
        <f>+F194+G194+H194+I194</f>
        <v>3294270</v>
      </c>
      <c r="K194" s="57"/>
      <c r="L194" s="58"/>
      <c r="N194" s="22"/>
    </row>
    <row r="195" spans="2:14" x14ac:dyDescent="0.25">
      <c r="B195" s="55"/>
      <c r="C195" s="56"/>
      <c r="D195" s="69" t="s">
        <v>21</v>
      </c>
      <c r="E195" s="32">
        <f>+I155</f>
        <v>2945670</v>
      </c>
      <c r="F195" s="69">
        <f>+E195*$F$193</f>
        <v>2945670</v>
      </c>
      <c r="G195" s="32">
        <f>+E194*$G$193</f>
        <v>0</v>
      </c>
      <c r="H195" s="69">
        <f>+E185*$H$193</f>
        <v>0</v>
      </c>
      <c r="I195" s="32">
        <f>+E184*$I$193</f>
        <v>0</v>
      </c>
      <c r="J195" s="70">
        <f t="shared" ref="J195:J199" si="42">+F195+G195+H195+I195</f>
        <v>2945670</v>
      </c>
      <c r="K195" s="21"/>
      <c r="L195" s="21"/>
      <c r="N195" s="22"/>
    </row>
    <row r="196" spans="2:14" x14ac:dyDescent="0.25">
      <c r="B196" s="55"/>
      <c r="C196" s="56"/>
      <c r="D196" s="69" t="s">
        <v>22</v>
      </c>
      <c r="E196" s="32">
        <f>+I156</f>
        <v>2928240</v>
      </c>
      <c r="F196" s="69">
        <f>+E196*$F$193</f>
        <v>2928240</v>
      </c>
      <c r="G196" s="32">
        <f t="shared" ref="G196:G198" si="43">+E195*$G$193</f>
        <v>0</v>
      </c>
      <c r="H196" s="69">
        <f>+E194*$H$193</f>
        <v>0</v>
      </c>
      <c r="I196" s="32">
        <f>+E185*$I$193</f>
        <v>0</v>
      </c>
      <c r="J196" s="70">
        <f t="shared" si="42"/>
        <v>2928240</v>
      </c>
      <c r="K196" s="21"/>
      <c r="L196" s="21"/>
      <c r="N196" s="22"/>
    </row>
    <row r="197" spans="2:14" x14ac:dyDescent="0.25">
      <c r="B197" s="55"/>
      <c r="C197" s="56"/>
      <c r="D197" s="69" t="s">
        <v>23</v>
      </c>
      <c r="E197" s="32">
        <f>+I157</f>
        <v>2300760</v>
      </c>
      <c r="F197" s="69">
        <f>+E197*$F$193</f>
        <v>2300760</v>
      </c>
      <c r="G197" s="32">
        <f t="shared" si="43"/>
        <v>0</v>
      </c>
      <c r="H197" s="69">
        <f t="shared" ref="H197:H198" si="44">+E195*$H$193</f>
        <v>0</v>
      </c>
      <c r="I197" s="32">
        <f>+E194*$I$193</f>
        <v>0</v>
      </c>
      <c r="J197" s="70">
        <f t="shared" si="42"/>
        <v>2300760</v>
      </c>
      <c r="K197" s="21"/>
      <c r="L197" s="21"/>
      <c r="N197" s="22"/>
    </row>
    <row r="198" spans="2:14" x14ac:dyDescent="0.25">
      <c r="B198" s="55"/>
      <c r="C198" s="56"/>
      <c r="D198" s="69" t="s">
        <v>24</v>
      </c>
      <c r="E198" s="32">
        <f>+I158</f>
        <v>1917300</v>
      </c>
      <c r="F198" s="69">
        <f>+E198*$F$193</f>
        <v>1917300</v>
      </c>
      <c r="G198" s="32">
        <f t="shared" si="43"/>
        <v>0</v>
      </c>
      <c r="H198" s="69">
        <f t="shared" si="44"/>
        <v>0</v>
      </c>
      <c r="I198" s="32">
        <f>+E195*$I$193</f>
        <v>0</v>
      </c>
      <c r="J198" s="70">
        <f t="shared" si="42"/>
        <v>1917300</v>
      </c>
      <c r="K198" s="21"/>
      <c r="L198" s="21"/>
      <c r="N198" s="22"/>
    </row>
    <row r="199" spans="2:14" x14ac:dyDescent="0.25">
      <c r="B199" s="55"/>
      <c r="C199" s="56"/>
      <c r="D199" s="36" t="s">
        <v>16</v>
      </c>
      <c r="E199" s="36">
        <f>+SUM(E194:E198)</f>
        <v>13386240</v>
      </c>
      <c r="F199" s="36">
        <f t="shared" ref="F199" si="45">+SUM(F194:F198)</f>
        <v>13386240</v>
      </c>
      <c r="G199" s="36">
        <f t="shared" ref="G199" si="46">+SUM(G194:G198)</f>
        <v>0</v>
      </c>
      <c r="H199" s="36">
        <f t="shared" ref="H199" si="47">+SUM(H194:H198)</f>
        <v>0</v>
      </c>
      <c r="I199" s="36">
        <f t="shared" ref="I199" si="48">+SUM(I194:I198)</f>
        <v>0</v>
      </c>
      <c r="J199" s="72">
        <f t="shared" si="42"/>
        <v>13386240</v>
      </c>
      <c r="K199" s="21"/>
      <c r="L199" s="21"/>
      <c r="N199" s="22"/>
    </row>
    <row r="200" spans="2:14" x14ac:dyDescent="0.25">
      <c r="B200" s="55"/>
      <c r="C200" s="56"/>
      <c r="D200" s="57"/>
      <c r="E200" s="57"/>
      <c r="F200" s="57"/>
      <c r="G200" s="234" t="s">
        <v>150</v>
      </c>
      <c r="H200" s="235"/>
      <c r="I200" s="82">
        <f>+E199-F199</f>
        <v>0</v>
      </c>
      <c r="J200" s="21"/>
      <c r="K200" s="21"/>
      <c r="L200" s="21"/>
      <c r="N200" s="22"/>
    </row>
    <row r="201" spans="2:14" x14ac:dyDescent="0.25">
      <c r="B201" s="55"/>
      <c r="C201" s="56"/>
      <c r="D201" s="57"/>
      <c r="E201" s="57"/>
      <c r="F201" s="57"/>
      <c r="G201" s="57"/>
      <c r="H201" s="57"/>
      <c r="I201" s="66">
        <f>+I200/E199</f>
        <v>0</v>
      </c>
      <c r="J201" s="21"/>
      <c r="K201" s="21"/>
      <c r="L201" s="21"/>
      <c r="N201" s="22"/>
    </row>
    <row r="202" spans="2:14" x14ac:dyDescent="0.25">
      <c r="B202" s="55"/>
      <c r="C202" s="56"/>
      <c r="D202" s="57"/>
      <c r="E202" s="57"/>
      <c r="F202" s="57"/>
      <c r="G202" s="57"/>
      <c r="H202" s="57"/>
      <c r="I202" s="21"/>
      <c r="J202" s="56"/>
      <c r="K202" s="57"/>
      <c r="L202" s="58"/>
      <c r="N202" s="22"/>
    </row>
    <row r="203" spans="2:14" x14ac:dyDescent="0.25">
      <c r="B203" s="51"/>
      <c r="C203" s="52"/>
      <c r="D203" s="53"/>
      <c r="E203" s="53"/>
      <c r="F203" s="53"/>
      <c r="G203" s="53"/>
      <c r="H203" s="53"/>
      <c r="I203" s="40"/>
      <c r="J203" s="52"/>
      <c r="K203" s="53"/>
      <c r="L203" s="54"/>
      <c r="M203" s="40"/>
      <c r="N203" s="43"/>
    </row>
    <row r="204" spans="2:14" x14ac:dyDescent="0.25">
      <c r="I204" s="84"/>
    </row>
  </sheetData>
  <mergeCells count="57">
    <mergeCell ref="B169:N169"/>
    <mergeCell ref="G187:H187"/>
    <mergeCell ref="C152:E152"/>
    <mergeCell ref="F6:J6"/>
    <mergeCell ref="G200:H200"/>
    <mergeCell ref="K66:L66"/>
    <mergeCell ref="M49:M50"/>
    <mergeCell ref="G66:H66"/>
    <mergeCell ref="I66:J66"/>
    <mergeCell ref="D113:G113"/>
    <mergeCell ref="I113:L113"/>
    <mergeCell ref="B130:N130"/>
    <mergeCell ref="D133:E133"/>
    <mergeCell ref="I133:J133"/>
    <mergeCell ref="J172:J173"/>
    <mergeCell ref="G171:J171"/>
    <mergeCell ref="J192:J193"/>
    <mergeCell ref="G191:J191"/>
    <mergeCell ref="J79:J80"/>
    <mergeCell ref="J99:J100"/>
    <mergeCell ref="B3:N3"/>
    <mergeCell ref="B48:M48"/>
    <mergeCell ref="M66:M67"/>
    <mergeCell ref="B65:M65"/>
    <mergeCell ref="B46:N46"/>
    <mergeCell ref="B27:N27"/>
    <mergeCell ref="H22:L22"/>
    <mergeCell ref="C49:D49"/>
    <mergeCell ref="E49:F49"/>
    <mergeCell ref="G49:H49"/>
    <mergeCell ref="I49:J49"/>
    <mergeCell ref="K49:L49"/>
    <mergeCell ref="G30:I30"/>
    <mergeCell ref="B150:N150"/>
    <mergeCell ref="B76:N76"/>
    <mergeCell ref="G78:I78"/>
    <mergeCell ref="G94:H94"/>
    <mergeCell ref="G98:I98"/>
    <mergeCell ref="G107:H107"/>
    <mergeCell ref="B110:N110"/>
    <mergeCell ref="B49:B50"/>
    <mergeCell ref="B66:B67"/>
    <mergeCell ref="C66:D66"/>
    <mergeCell ref="E66:F66"/>
    <mergeCell ref="C30:E30"/>
    <mergeCell ref="B4:L4"/>
    <mergeCell ref="B12:G12"/>
    <mergeCell ref="F23:F24"/>
    <mergeCell ref="B23:B24"/>
    <mergeCell ref="C23:C24"/>
    <mergeCell ref="D23:D24"/>
    <mergeCell ref="E23:E24"/>
    <mergeCell ref="G23:G24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topLeftCell="A22" zoomScale="91" zoomScaleNormal="91" workbookViewId="0">
      <selection activeCell="I42" sqref="I42"/>
    </sheetView>
  </sheetViews>
  <sheetFormatPr baseColWidth="10" defaultRowHeight="15" x14ac:dyDescent="0.25"/>
  <cols>
    <col min="1" max="1" width="11.375" style="3"/>
    <col min="2" max="2" width="11.375" style="83"/>
    <col min="3" max="3" width="8.75" style="83" customWidth="1"/>
    <col min="4" max="4" width="32.875" style="83" bestFit="1" customWidth="1"/>
    <col min="5" max="5" width="10.75" style="83" bestFit="1" customWidth="1"/>
    <col min="6" max="6" width="18.875" style="83" bestFit="1" customWidth="1"/>
    <col min="7" max="7" width="13.375" style="83" customWidth="1"/>
    <col min="8" max="8" width="15" style="83" bestFit="1" customWidth="1"/>
    <col min="9" max="9" width="15.625" style="83" bestFit="1" customWidth="1"/>
    <col min="10" max="11" width="10.625" style="83" bestFit="1" customWidth="1"/>
    <col min="12" max="12" width="12.125" style="83" bestFit="1" customWidth="1"/>
    <col min="13" max="13" width="11.375" style="83"/>
  </cols>
  <sheetData>
    <row r="2" spans="2:13" ht="26.25" customHeight="1" x14ac:dyDescent="0.4">
      <c r="B2" s="236" t="s">
        <v>153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2:13" s="3" customFormat="1" ht="26.25" x14ac:dyDescent="0.4">
      <c r="B3" s="18"/>
      <c r="C3" s="85"/>
      <c r="D3" s="85"/>
      <c r="E3" s="85"/>
      <c r="F3" s="85"/>
      <c r="G3" s="85"/>
      <c r="H3" s="85"/>
      <c r="I3" s="85"/>
      <c r="J3" s="85"/>
      <c r="K3" s="85"/>
      <c r="L3" s="21"/>
      <c r="M3" s="22"/>
    </row>
    <row r="4" spans="2:13" x14ac:dyDescent="0.25">
      <c r="B4" s="18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2:13" ht="15" customHeight="1" x14ac:dyDescent="0.25">
      <c r="B5" s="18"/>
      <c r="C5" s="211" t="s">
        <v>154</v>
      </c>
      <c r="D5" s="211"/>
      <c r="E5" s="211"/>
      <c r="F5" s="32">
        <v>7331844</v>
      </c>
      <c r="G5" s="21"/>
      <c r="H5" s="21"/>
      <c r="I5" s="21"/>
      <c r="J5" s="21"/>
      <c r="K5" s="21"/>
      <c r="L5" s="21"/>
      <c r="M5" s="22"/>
    </row>
    <row r="6" spans="2:13" x14ac:dyDescent="0.25">
      <c r="B6" s="18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2:13" x14ac:dyDescent="0.25">
      <c r="B7" s="18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2:13" x14ac:dyDescent="0.25">
      <c r="B8" s="18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2:13" ht="21" x14ac:dyDescent="0.25">
      <c r="B9" s="18"/>
      <c r="C9" s="241" t="s">
        <v>164</v>
      </c>
      <c r="D9" s="241"/>
      <c r="E9" s="241"/>
      <c r="F9" s="241"/>
      <c r="G9" s="241"/>
      <c r="H9" s="241"/>
      <c r="I9" s="241"/>
      <c r="J9" s="241"/>
      <c r="K9" s="21"/>
      <c r="L9" s="21"/>
      <c r="M9" s="22"/>
    </row>
    <row r="10" spans="2:13" x14ac:dyDescent="0.25">
      <c r="B10" s="18"/>
      <c r="C10" s="5" t="s">
        <v>1</v>
      </c>
      <c r="D10" s="5" t="s">
        <v>48</v>
      </c>
      <c r="E10" s="5" t="s">
        <v>35</v>
      </c>
      <c r="F10" s="5" t="s">
        <v>163</v>
      </c>
      <c r="G10" s="5" t="s">
        <v>210</v>
      </c>
      <c r="H10" s="5" t="s">
        <v>50</v>
      </c>
      <c r="I10" s="5" t="s">
        <v>51</v>
      </c>
      <c r="J10" s="5" t="s">
        <v>116</v>
      </c>
      <c r="K10" s="21"/>
      <c r="L10" s="21"/>
      <c r="M10" s="22"/>
    </row>
    <row r="11" spans="2:13" x14ac:dyDescent="0.25">
      <c r="B11" s="18"/>
      <c r="C11" s="29">
        <v>1</v>
      </c>
      <c r="D11" s="17" t="s">
        <v>155</v>
      </c>
      <c r="E11" s="17">
        <v>1</v>
      </c>
      <c r="F11" s="32">
        <v>560000</v>
      </c>
      <c r="G11" s="32">
        <f>+E11*F11</f>
        <v>560000</v>
      </c>
      <c r="H11" s="29">
        <v>5</v>
      </c>
      <c r="I11" s="32">
        <f>+G11/H11</f>
        <v>112000</v>
      </c>
      <c r="J11" s="32">
        <f>+I11/12</f>
        <v>9333.3333333333339</v>
      </c>
      <c r="K11" s="21"/>
      <c r="L11" s="21"/>
      <c r="M11" s="22"/>
    </row>
    <row r="12" spans="2:13" x14ac:dyDescent="0.25">
      <c r="B12" s="18"/>
      <c r="C12" s="29">
        <v>2</v>
      </c>
      <c r="D12" s="17" t="s">
        <v>156</v>
      </c>
      <c r="E12" s="17">
        <v>1</v>
      </c>
      <c r="F12" s="32">
        <v>300000</v>
      </c>
      <c r="G12" s="32">
        <f t="shared" ref="G12:G18" si="0">+E12*F12</f>
        <v>300000</v>
      </c>
      <c r="H12" s="29">
        <v>5</v>
      </c>
      <c r="I12" s="32">
        <f t="shared" ref="I12:I17" si="1">+G12/H12</f>
        <v>60000</v>
      </c>
      <c r="J12" s="32">
        <f t="shared" ref="J12:J17" si="2">+I12/12</f>
        <v>5000</v>
      </c>
      <c r="K12" s="21"/>
      <c r="L12" s="21"/>
      <c r="M12" s="22"/>
    </row>
    <row r="13" spans="2:13" s="3" customFormat="1" x14ac:dyDescent="0.25">
      <c r="B13" s="18"/>
      <c r="C13" s="29">
        <v>3</v>
      </c>
      <c r="D13" s="17" t="s">
        <v>157</v>
      </c>
      <c r="E13" s="17">
        <v>1</v>
      </c>
      <c r="F13" s="32">
        <v>700000</v>
      </c>
      <c r="G13" s="32">
        <f t="shared" si="0"/>
        <v>700000</v>
      </c>
      <c r="H13" s="29">
        <v>5</v>
      </c>
      <c r="I13" s="32">
        <f t="shared" si="1"/>
        <v>140000</v>
      </c>
      <c r="J13" s="32">
        <f t="shared" si="2"/>
        <v>11666.666666666666</v>
      </c>
      <c r="K13" s="21"/>
      <c r="L13" s="21"/>
      <c r="M13" s="22"/>
    </row>
    <row r="14" spans="2:13" s="3" customFormat="1" x14ac:dyDescent="0.25">
      <c r="B14" s="18"/>
      <c r="C14" s="29">
        <v>4</v>
      </c>
      <c r="D14" s="17" t="s">
        <v>158</v>
      </c>
      <c r="E14" s="17">
        <v>150</v>
      </c>
      <c r="F14" s="32">
        <v>8000</v>
      </c>
      <c r="G14" s="32">
        <f t="shared" si="0"/>
        <v>1200000</v>
      </c>
      <c r="H14" s="29">
        <v>3</v>
      </c>
      <c r="I14" s="32">
        <f t="shared" si="1"/>
        <v>400000</v>
      </c>
      <c r="J14" s="32">
        <f t="shared" si="2"/>
        <v>33333.333333333336</v>
      </c>
      <c r="K14" s="21"/>
      <c r="L14" s="21"/>
      <c r="M14" s="22"/>
    </row>
    <row r="15" spans="2:13" s="3" customFormat="1" x14ac:dyDescent="0.25">
      <c r="B15" s="18"/>
      <c r="C15" s="29">
        <v>5</v>
      </c>
      <c r="D15" s="17" t="s">
        <v>159</v>
      </c>
      <c r="E15" s="17">
        <v>3</v>
      </c>
      <c r="F15" s="32">
        <v>19000</v>
      </c>
      <c r="G15" s="32">
        <f t="shared" si="0"/>
        <v>57000</v>
      </c>
      <c r="H15" s="29">
        <v>2</v>
      </c>
      <c r="I15" s="32">
        <f t="shared" si="1"/>
        <v>28500</v>
      </c>
      <c r="J15" s="32">
        <f t="shared" si="2"/>
        <v>2375</v>
      </c>
      <c r="K15" s="21"/>
      <c r="L15" s="21"/>
      <c r="M15" s="22"/>
    </row>
    <row r="16" spans="2:13" s="3" customFormat="1" x14ac:dyDescent="0.25">
      <c r="B16" s="18"/>
      <c r="C16" s="29">
        <v>6</v>
      </c>
      <c r="D16" s="17" t="s">
        <v>160</v>
      </c>
      <c r="E16" s="17">
        <v>2</v>
      </c>
      <c r="F16" s="32">
        <v>50000</v>
      </c>
      <c r="G16" s="32">
        <f t="shared" si="0"/>
        <v>100000</v>
      </c>
      <c r="H16" s="29">
        <v>3</v>
      </c>
      <c r="I16" s="32">
        <f t="shared" si="1"/>
        <v>33333.333333333336</v>
      </c>
      <c r="J16" s="32">
        <f t="shared" si="2"/>
        <v>2777.7777777777778</v>
      </c>
      <c r="K16" s="21"/>
      <c r="L16" s="21"/>
      <c r="M16" s="22"/>
    </row>
    <row r="17" spans="2:13" s="3" customFormat="1" x14ac:dyDescent="0.25">
      <c r="B17" s="18"/>
      <c r="C17" s="29">
        <v>7</v>
      </c>
      <c r="D17" s="17" t="s">
        <v>161</v>
      </c>
      <c r="E17" s="17">
        <v>4</v>
      </c>
      <c r="F17" s="32">
        <v>45000</v>
      </c>
      <c r="G17" s="32">
        <f t="shared" si="0"/>
        <v>180000</v>
      </c>
      <c r="H17" s="29">
        <v>2</v>
      </c>
      <c r="I17" s="32">
        <f t="shared" si="1"/>
        <v>90000</v>
      </c>
      <c r="J17" s="32">
        <f t="shared" si="2"/>
        <v>7500</v>
      </c>
      <c r="K17" s="21"/>
      <c r="L17" s="21"/>
      <c r="M17" s="22"/>
    </row>
    <row r="18" spans="2:13" x14ac:dyDescent="0.25">
      <c r="B18" s="18"/>
      <c r="C18" s="29">
        <v>8</v>
      </c>
      <c r="D18" s="17" t="s">
        <v>162</v>
      </c>
      <c r="E18" s="17">
        <v>250</v>
      </c>
      <c r="F18" s="32">
        <v>3000</v>
      </c>
      <c r="G18" s="32">
        <f t="shared" si="0"/>
        <v>750000</v>
      </c>
      <c r="H18" s="29">
        <v>2</v>
      </c>
      <c r="I18" s="32">
        <f t="shared" ref="I18" si="3">+G18/H18</f>
        <v>375000</v>
      </c>
      <c r="J18" s="32">
        <f t="shared" ref="J18" si="4">+I18/12</f>
        <v>31250</v>
      </c>
      <c r="K18" s="21"/>
      <c r="L18" s="21"/>
      <c r="M18" s="22"/>
    </row>
    <row r="19" spans="2:13" s="6" customFormat="1" x14ac:dyDescent="0.25">
      <c r="B19" s="8"/>
      <c r="C19" s="211" t="s">
        <v>36</v>
      </c>
      <c r="D19" s="211"/>
      <c r="E19" s="44"/>
      <c r="F19" s="86">
        <f>+SUM(F11:F18)</f>
        <v>1685000</v>
      </c>
      <c r="G19" s="36">
        <f>+SUM(G11:G18)</f>
        <v>3847000</v>
      </c>
      <c r="H19" s="42"/>
      <c r="I19" s="36">
        <f>+SUM(I11:I18)</f>
        <v>1238833.3333333335</v>
      </c>
      <c r="J19" s="36">
        <f>+SUM(J11:J18)</f>
        <v>103236.11111111112</v>
      </c>
      <c r="K19" s="57"/>
      <c r="L19" s="14"/>
      <c r="M19" s="50"/>
    </row>
    <row r="20" spans="2:13" x14ac:dyDescent="0.25">
      <c r="B20" s="18"/>
      <c r="C20" s="21"/>
      <c r="D20" s="21"/>
      <c r="E20" s="21"/>
      <c r="F20" s="21"/>
      <c r="G20" s="37"/>
      <c r="H20" s="21"/>
      <c r="I20" s="21"/>
      <c r="J20" s="21"/>
      <c r="K20" s="21"/>
      <c r="L20" s="21"/>
      <c r="M20" s="22"/>
    </row>
    <row r="21" spans="2:13" x14ac:dyDescent="0.25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</row>
    <row r="22" spans="2:13" x14ac:dyDescent="0.25">
      <c r="B22" s="18"/>
      <c r="C22" s="233" t="s">
        <v>215</v>
      </c>
      <c r="D22" s="239"/>
      <c r="E22" s="239"/>
      <c r="F22" s="239"/>
      <c r="G22" s="239"/>
      <c r="H22" s="240"/>
      <c r="I22" s="21"/>
      <c r="J22" s="21"/>
      <c r="K22" s="21"/>
      <c r="L22" s="21"/>
      <c r="M22" s="22"/>
    </row>
    <row r="23" spans="2:13" x14ac:dyDescent="0.25">
      <c r="B23" s="18"/>
      <c r="C23" s="87" t="s">
        <v>49</v>
      </c>
      <c r="D23" s="88">
        <v>7331844</v>
      </c>
      <c r="E23" s="84" t="s">
        <v>56</v>
      </c>
      <c r="F23" s="89" t="s">
        <v>53</v>
      </c>
      <c r="G23" s="90">
        <v>0.1149</v>
      </c>
      <c r="H23" s="91" t="s">
        <v>58</v>
      </c>
      <c r="I23" s="21"/>
      <c r="J23" s="21"/>
      <c r="K23" s="21"/>
      <c r="L23" s="21"/>
      <c r="M23" s="22"/>
    </row>
    <row r="24" spans="2:13" x14ac:dyDescent="0.25">
      <c r="B24" s="18"/>
      <c r="C24" s="8" t="s">
        <v>52</v>
      </c>
      <c r="D24" s="21">
        <v>12</v>
      </c>
      <c r="E24" s="21" t="s">
        <v>57</v>
      </c>
      <c r="F24" s="14" t="s">
        <v>54</v>
      </c>
      <c r="G24" s="92">
        <f>+POWER((1+G23),(1/12))-1</f>
        <v>9.1049261801667836E-3</v>
      </c>
      <c r="H24" s="22" t="s">
        <v>59</v>
      </c>
      <c r="I24" s="21"/>
      <c r="J24" s="21"/>
      <c r="K24" s="21"/>
      <c r="L24" s="21"/>
      <c r="M24" s="22"/>
    </row>
    <row r="25" spans="2:13" x14ac:dyDescent="0.25">
      <c r="B25" s="18"/>
      <c r="C25" s="39"/>
      <c r="D25" s="40"/>
      <c r="E25" s="40"/>
      <c r="F25" s="93" t="s">
        <v>55</v>
      </c>
      <c r="G25" s="40">
        <v>0</v>
      </c>
      <c r="H25" s="43" t="s">
        <v>57</v>
      </c>
      <c r="I25" s="21"/>
      <c r="J25" s="21"/>
      <c r="K25" s="21"/>
      <c r="L25" s="21"/>
      <c r="M25" s="22"/>
    </row>
    <row r="26" spans="2:13" x14ac:dyDescent="0.25">
      <c r="B26" s="18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22"/>
    </row>
    <row r="27" spans="2:13" x14ac:dyDescent="0.25">
      <c r="B27" s="18"/>
      <c r="C27" s="95" t="s">
        <v>60</v>
      </c>
      <c r="D27" s="96" t="s">
        <v>61</v>
      </c>
      <c r="E27" s="96" t="s">
        <v>62</v>
      </c>
      <c r="F27" s="96" t="s">
        <v>63</v>
      </c>
      <c r="G27" s="96" t="s">
        <v>64</v>
      </c>
      <c r="H27" s="97" t="s">
        <v>65</v>
      </c>
      <c r="I27" s="21"/>
      <c r="J27" s="21"/>
      <c r="K27" s="21"/>
      <c r="L27" s="21"/>
      <c r="M27" s="22"/>
    </row>
    <row r="28" spans="2:13" x14ac:dyDescent="0.25">
      <c r="B28" s="18"/>
      <c r="C28" s="271">
        <v>0</v>
      </c>
      <c r="D28" s="272"/>
      <c r="E28" s="272"/>
      <c r="F28" s="272"/>
      <c r="G28" s="272">
        <f>+D23</f>
        <v>7331844</v>
      </c>
      <c r="H28" s="273"/>
      <c r="I28" s="21"/>
      <c r="J28" s="21"/>
      <c r="K28" s="21"/>
      <c r="L28" s="21"/>
      <c r="M28" s="22"/>
    </row>
    <row r="29" spans="2:13" x14ac:dyDescent="0.25">
      <c r="B29" s="18"/>
      <c r="C29" s="23">
        <v>1</v>
      </c>
      <c r="D29" s="98">
        <f>IF(($G$25-C29)&gt;=0,0,F29-E29)</f>
        <v>580991.28271974088</v>
      </c>
      <c r="E29" s="98">
        <f>+$G$24*G28</f>
        <v>66755.898384498752</v>
      </c>
      <c r="F29" s="98">
        <f>IF(($D$24-C29)&lt;0,0,IF(($G$25-C29)&gt;=0,E29,$G$28*(1+$G$24)^($D$24-$G$25)*($G$24)/((1+$G$24)^($D$24-$G$25)-1)))</f>
        <v>647747.18110423966</v>
      </c>
      <c r="G29" s="98">
        <f>IF((G28-D29)&lt;&gt;0.001,G28-D29,0)</f>
        <v>6750852.7172802594</v>
      </c>
      <c r="H29" s="99">
        <f>+F29</f>
        <v>647747.18110423966</v>
      </c>
      <c r="I29" s="21"/>
      <c r="J29" s="21"/>
      <c r="K29" s="21"/>
      <c r="L29" s="21"/>
      <c r="M29" s="22"/>
    </row>
    <row r="30" spans="2:13" x14ac:dyDescent="0.25">
      <c r="B30" s="18"/>
      <c r="C30" s="23">
        <v>2</v>
      </c>
      <c r="D30" s="98">
        <f t="shared" ref="D30:D45" si="5">IF(($F$7-C30)&gt;=0,0,F30-E30)</f>
        <v>586281.1654602245</v>
      </c>
      <c r="E30" s="98">
        <f t="shared" ref="E30:E45" si="6">+$G$24*G29</f>
        <v>61466.015644015104</v>
      </c>
      <c r="F30" s="98">
        <f t="shared" ref="F30:F45" si="7">IF(($D$24-C30)&lt;0,0,IF(($G$25-C30)&gt;=0,E30,$G$28*(1+$G$24)^($D$24-$G$25)*($G$24)/((1+$G$24)^($D$24-$G$25)-1)))</f>
        <v>647747.18110423966</v>
      </c>
      <c r="G30" s="98">
        <f t="shared" ref="G30:G45" si="8">IF((G29-D30)&lt;&gt;0.001,G29-D30,0)</f>
        <v>6164571.5518200351</v>
      </c>
      <c r="H30" s="99">
        <f t="shared" ref="H30:H45" si="9">+F30</f>
        <v>647747.18110423966</v>
      </c>
      <c r="I30" s="21"/>
      <c r="J30" s="21"/>
      <c r="K30" s="21"/>
      <c r="L30" s="21"/>
      <c r="M30" s="22"/>
    </row>
    <row r="31" spans="2:13" x14ac:dyDescent="0.25">
      <c r="B31" s="18"/>
      <c r="C31" s="23">
        <v>3</v>
      </c>
      <c r="D31" s="98">
        <f t="shared" si="5"/>
        <v>591619.21219256206</v>
      </c>
      <c r="E31" s="98">
        <f t="shared" si="6"/>
        <v>56127.968911677614</v>
      </c>
      <c r="F31" s="98">
        <f t="shared" si="7"/>
        <v>647747.18110423966</v>
      </c>
      <c r="G31" s="98">
        <f t="shared" si="8"/>
        <v>5572952.3396274727</v>
      </c>
      <c r="H31" s="99">
        <f t="shared" si="9"/>
        <v>647747.18110423966</v>
      </c>
      <c r="I31" s="21"/>
      <c r="J31" s="21"/>
      <c r="K31" s="21"/>
      <c r="L31" s="21"/>
      <c r="M31" s="22"/>
    </row>
    <row r="32" spans="2:13" x14ac:dyDescent="0.25">
      <c r="B32" s="18"/>
      <c r="C32" s="23">
        <v>4</v>
      </c>
      <c r="D32" s="98">
        <f t="shared" si="5"/>
        <v>597005.86144634371</v>
      </c>
      <c r="E32" s="98">
        <f t="shared" si="6"/>
        <v>50741.319657895903</v>
      </c>
      <c r="F32" s="98">
        <f t="shared" si="7"/>
        <v>647747.18110423966</v>
      </c>
      <c r="G32" s="98">
        <f t="shared" si="8"/>
        <v>4975946.4781811293</v>
      </c>
      <c r="H32" s="99">
        <f t="shared" si="9"/>
        <v>647747.18110423966</v>
      </c>
      <c r="I32" s="21"/>
      <c r="J32" s="21"/>
      <c r="K32" s="21"/>
      <c r="L32" s="21"/>
      <c r="M32" s="22"/>
    </row>
    <row r="33" spans="2:13" x14ac:dyDescent="0.25">
      <c r="B33" s="18"/>
      <c r="C33" s="23">
        <v>5</v>
      </c>
      <c r="D33" s="98">
        <f t="shared" si="5"/>
        <v>602441.55574393959</v>
      </c>
      <c r="E33" s="98">
        <f t="shared" si="6"/>
        <v>45305.625360300066</v>
      </c>
      <c r="F33" s="98">
        <f t="shared" si="7"/>
        <v>647747.18110423966</v>
      </c>
      <c r="G33" s="98">
        <f t="shared" si="8"/>
        <v>4373504.9224371901</v>
      </c>
      <c r="H33" s="99">
        <f t="shared" si="9"/>
        <v>647747.18110423966</v>
      </c>
      <c r="I33" s="21"/>
      <c r="J33" s="21"/>
      <c r="K33" s="37"/>
      <c r="L33" s="21"/>
      <c r="M33" s="22"/>
    </row>
    <row r="34" spans="2:13" x14ac:dyDescent="0.25">
      <c r="B34" s="18"/>
      <c r="C34" s="23">
        <v>6</v>
      </c>
      <c r="D34" s="98">
        <f t="shared" si="5"/>
        <v>607926.74163685297</v>
      </c>
      <c r="E34" s="98">
        <f t="shared" si="6"/>
        <v>39820.43946738667</v>
      </c>
      <c r="F34" s="98">
        <f t="shared" si="7"/>
        <v>647747.18110423966</v>
      </c>
      <c r="G34" s="98">
        <f t="shared" si="8"/>
        <v>3765578.1808003373</v>
      </c>
      <c r="H34" s="99">
        <f t="shared" si="9"/>
        <v>647747.18110423966</v>
      </c>
      <c r="I34" s="21"/>
      <c r="J34" s="21"/>
      <c r="K34" s="21"/>
      <c r="L34" s="21"/>
      <c r="M34" s="22"/>
    </row>
    <row r="35" spans="2:13" x14ac:dyDescent="0.25">
      <c r="B35" s="18"/>
      <c r="C35" s="23">
        <v>7</v>
      </c>
      <c r="D35" s="98">
        <f t="shared" si="5"/>
        <v>613461.86974240583</v>
      </c>
      <c r="E35" s="98">
        <f t="shared" si="6"/>
        <v>34285.311361833803</v>
      </c>
      <c r="F35" s="98">
        <f t="shared" si="7"/>
        <v>647747.18110423966</v>
      </c>
      <c r="G35" s="98">
        <f t="shared" si="8"/>
        <v>3152116.3110579317</v>
      </c>
      <c r="H35" s="99">
        <f t="shared" si="9"/>
        <v>647747.18110423966</v>
      </c>
      <c r="I35" s="21"/>
      <c r="J35" s="211" t="s">
        <v>66</v>
      </c>
      <c r="K35" s="5" t="s">
        <v>67</v>
      </c>
      <c r="L35" s="5" t="s">
        <v>68</v>
      </c>
      <c r="M35" s="22"/>
    </row>
    <row r="36" spans="2:13" x14ac:dyDescent="0.25">
      <c r="B36" s="18"/>
      <c r="C36" s="23">
        <v>8</v>
      </c>
      <c r="D36" s="98">
        <f t="shared" si="5"/>
        <v>619047.3947807576</v>
      </c>
      <c r="E36" s="98">
        <f t="shared" si="6"/>
        <v>28699.786323482109</v>
      </c>
      <c r="F36" s="98">
        <f t="shared" si="7"/>
        <v>647747.18110423966</v>
      </c>
      <c r="G36" s="98">
        <f t="shared" si="8"/>
        <v>2533068.9162771739</v>
      </c>
      <c r="H36" s="99">
        <f t="shared" si="9"/>
        <v>647747.18110423966</v>
      </c>
      <c r="I36" s="21"/>
      <c r="J36" s="211"/>
      <c r="K36" s="46">
        <f>+SUM(E29:E40)</f>
        <v>441122.17325087124</v>
      </c>
      <c r="L36" s="46">
        <f>+SUM(F28:F40)</f>
        <v>7772966.1732508773</v>
      </c>
      <c r="M36" s="22"/>
    </row>
    <row r="37" spans="2:13" x14ac:dyDescent="0.25">
      <c r="B37" s="18"/>
      <c r="C37" s="23">
        <v>9</v>
      </c>
      <c r="D37" s="98">
        <f t="shared" si="5"/>
        <v>624683.77561226091</v>
      </c>
      <c r="E37" s="98">
        <f t="shared" si="6"/>
        <v>23063.405491978741</v>
      </c>
      <c r="F37" s="98">
        <f t="shared" si="7"/>
        <v>647747.18110423966</v>
      </c>
      <c r="G37" s="98">
        <f t="shared" si="8"/>
        <v>1908385.140664913</v>
      </c>
      <c r="H37" s="99">
        <f t="shared" si="9"/>
        <v>647747.18110423966</v>
      </c>
      <c r="I37" s="21"/>
      <c r="J37" s="21"/>
      <c r="K37" s="21"/>
      <c r="L37" s="21"/>
      <c r="M37" s="22"/>
    </row>
    <row r="38" spans="2:13" x14ac:dyDescent="0.25">
      <c r="B38" s="18"/>
      <c r="C38" s="23">
        <v>10</v>
      </c>
      <c r="D38" s="98">
        <f t="shared" si="5"/>
        <v>630371.47527515842</v>
      </c>
      <c r="E38" s="98">
        <f t="shared" si="6"/>
        <v>17375.705829081235</v>
      </c>
      <c r="F38" s="98">
        <f t="shared" si="7"/>
        <v>647747.18110423966</v>
      </c>
      <c r="G38" s="98">
        <f t="shared" si="8"/>
        <v>1278013.6653897546</v>
      </c>
      <c r="H38" s="99">
        <f t="shared" si="9"/>
        <v>647747.18110423966</v>
      </c>
      <c r="I38" s="21"/>
      <c r="J38" s="21"/>
      <c r="K38" s="21"/>
      <c r="L38" s="21"/>
      <c r="M38" s="22"/>
    </row>
    <row r="39" spans="2:13" x14ac:dyDescent="0.25">
      <c r="B39" s="18"/>
      <c r="C39" s="23">
        <v>11</v>
      </c>
      <c r="D39" s="98">
        <f t="shared" si="5"/>
        <v>636110.96102362161</v>
      </c>
      <c r="E39" s="98">
        <f t="shared" si="6"/>
        <v>11636.220080618088</v>
      </c>
      <c r="F39" s="98">
        <f t="shared" si="7"/>
        <v>647747.18110423966</v>
      </c>
      <c r="G39" s="98">
        <f t="shared" si="8"/>
        <v>641902.70436613297</v>
      </c>
      <c r="H39" s="99">
        <f t="shared" si="9"/>
        <v>647747.18110423966</v>
      </c>
      <c r="I39" s="21"/>
      <c r="J39" s="211" t="s">
        <v>18</v>
      </c>
      <c r="K39" s="5" t="s">
        <v>67</v>
      </c>
      <c r="L39" s="5" t="s">
        <v>68</v>
      </c>
      <c r="M39" s="22"/>
    </row>
    <row r="40" spans="2:13" x14ac:dyDescent="0.25">
      <c r="B40" s="18"/>
      <c r="C40" s="23">
        <v>12</v>
      </c>
      <c r="D40" s="98">
        <f t="shared" si="5"/>
        <v>641902.70436613658</v>
      </c>
      <c r="E40" s="98">
        <f t="shared" si="6"/>
        <v>5844.4767381030633</v>
      </c>
      <c r="F40" s="98">
        <f t="shared" si="7"/>
        <v>647747.18110423966</v>
      </c>
      <c r="G40" s="98">
        <f t="shared" si="8"/>
        <v>-3.6088749766349792E-9</v>
      </c>
      <c r="H40" s="99">
        <f t="shared" si="9"/>
        <v>647747.18110423966</v>
      </c>
      <c r="I40" s="21"/>
      <c r="J40" s="211"/>
      <c r="K40" s="46">
        <f>+SUM(E41:E45)</f>
        <v>-1.6731181097089884E-10</v>
      </c>
      <c r="L40" s="46">
        <f>+SUM(F41:F45)</f>
        <v>0</v>
      </c>
      <c r="M40" s="22"/>
    </row>
    <row r="41" spans="2:13" x14ac:dyDescent="0.25">
      <c r="B41" s="18"/>
      <c r="C41" s="23">
        <v>13</v>
      </c>
      <c r="D41" s="98">
        <f t="shared" si="5"/>
        <v>3.2858540255712612E-11</v>
      </c>
      <c r="E41" s="98">
        <f t="shared" si="6"/>
        <v>-3.2858540255712612E-11</v>
      </c>
      <c r="F41" s="98">
        <f t="shared" si="7"/>
        <v>0</v>
      </c>
      <c r="G41" s="98">
        <f t="shared" si="8"/>
        <v>-3.6417335168906917E-9</v>
      </c>
      <c r="H41" s="99">
        <f t="shared" si="9"/>
        <v>0</v>
      </c>
      <c r="I41" s="21"/>
      <c r="J41" s="21"/>
      <c r="K41" s="21"/>
      <c r="L41" s="21"/>
      <c r="M41" s="22"/>
    </row>
    <row r="42" spans="2:13" x14ac:dyDescent="0.25">
      <c r="B42" s="18"/>
      <c r="C42" s="23">
        <v>14</v>
      </c>
      <c r="D42" s="98">
        <f t="shared" si="5"/>
        <v>3.3157714839128911E-11</v>
      </c>
      <c r="E42" s="98">
        <f t="shared" si="6"/>
        <v>-3.3157714839128911E-11</v>
      </c>
      <c r="F42" s="98">
        <f t="shared" si="7"/>
        <v>0</v>
      </c>
      <c r="G42" s="98">
        <f t="shared" si="8"/>
        <v>-3.6748912317298206E-9</v>
      </c>
      <c r="H42" s="99">
        <f t="shared" si="9"/>
        <v>0</v>
      </c>
      <c r="I42" s="21"/>
      <c r="J42" s="21"/>
      <c r="K42" s="21"/>
      <c r="L42" s="21"/>
      <c r="M42" s="22"/>
    </row>
    <row r="43" spans="2:13" x14ac:dyDescent="0.25">
      <c r="B43" s="18"/>
      <c r="C43" s="23">
        <v>15</v>
      </c>
      <c r="D43" s="98">
        <f t="shared" si="5"/>
        <v>3.3459613385042199E-11</v>
      </c>
      <c r="E43" s="98">
        <f t="shared" si="6"/>
        <v>-3.3459613385042199E-11</v>
      </c>
      <c r="F43" s="98">
        <f t="shared" si="7"/>
        <v>0</v>
      </c>
      <c r="G43" s="98">
        <f t="shared" si="8"/>
        <v>-3.708350845114863E-9</v>
      </c>
      <c r="H43" s="99">
        <f t="shared" si="9"/>
        <v>0</v>
      </c>
      <c r="I43" s="21"/>
      <c r="J43" s="21"/>
      <c r="K43" s="21"/>
      <c r="L43" s="21"/>
      <c r="M43" s="22"/>
    </row>
    <row r="44" spans="2:13" x14ac:dyDescent="0.25">
      <c r="B44" s="18"/>
      <c r="C44" s="23">
        <v>16</v>
      </c>
      <c r="D44" s="98">
        <f t="shared" si="5"/>
        <v>3.3764260694929934E-11</v>
      </c>
      <c r="E44" s="98">
        <f t="shared" si="6"/>
        <v>-3.3764260694929934E-11</v>
      </c>
      <c r="F44" s="98">
        <f t="shared" si="7"/>
        <v>0</v>
      </c>
      <c r="G44" s="98">
        <f t="shared" si="8"/>
        <v>-3.7421151058097932E-9</v>
      </c>
      <c r="H44" s="99">
        <f t="shared" si="9"/>
        <v>0</v>
      </c>
      <c r="I44" s="21"/>
      <c r="J44" s="21"/>
      <c r="K44" s="21"/>
      <c r="L44" s="21"/>
      <c r="M44" s="22"/>
    </row>
    <row r="45" spans="2:13" ht="15" customHeight="1" x14ac:dyDescent="0.25">
      <c r="B45" s="18"/>
      <c r="C45" s="100">
        <v>17</v>
      </c>
      <c r="D45" s="101">
        <f t="shared" si="5"/>
        <v>3.407168179608518E-11</v>
      </c>
      <c r="E45" s="274">
        <f t="shared" si="6"/>
        <v>-3.407168179608518E-11</v>
      </c>
      <c r="F45" s="101">
        <f t="shared" si="7"/>
        <v>0</v>
      </c>
      <c r="G45" s="101">
        <f t="shared" si="8"/>
        <v>-3.7761867876058783E-9</v>
      </c>
      <c r="H45" s="102">
        <f t="shared" si="9"/>
        <v>0</v>
      </c>
      <c r="I45" s="21"/>
      <c r="J45" s="21"/>
      <c r="K45" s="21"/>
      <c r="L45" s="21"/>
      <c r="M45" s="22"/>
    </row>
    <row r="46" spans="2:13" x14ac:dyDescent="0.25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</row>
    <row r="47" spans="2:13" x14ac:dyDescent="0.25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3"/>
    </row>
  </sheetData>
  <mergeCells count="7">
    <mergeCell ref="B2:M2"/>
    <mergeCell ref="C22:H22"/>
    <mergeCell ref="J35:J36"/>
    <mergeCell ref="J39:J40"/>
    <mergeCell ref="C5:E5"/>
    <mergeCell ref="C19:D19"/>
    <mergeCell ref="C9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zoomScale="89" zoomScaleNormal="89" workbookViewId="0">
      <selection activeCell="I1" sqref="I1"/>
    </sheetView>
  </sheetViews>
  <sheetFormatPr baseColWidth="10" defaultRowHeight="15" x14ac:dyDescent="0.25"/>
  <cols>
    <col min="2" max="2" width="24.125" style="83" bestFit="1" customWidth="1"/>
    <col min="3" max="3" width="13.375" style="83" bestFit="1" customWidth="1"/>
    <col min="4" max="4" width="12.25" style="83" customWidth="1"/>
    <col min="5" max="5" width="10.75" style="83" bestFit="1" customWidth="1"/>
    <col min="6" max="6" width="27.75" style="83" bestFit="1" customWidth="1"/>
    <col min="7" max="7" width="10.75" style="83" bestFit="1" customWidth="1"/>
    <col min="8" max="8" width="12.25" style="83" customWidth="1"/>
    <col min="9" max="12" width="10.75" style="83" bestFit="1" customWidth="1"/>
    <col min="13" max="13" width="12.25" style="83" customWidth="1"/>
    <col min="14" max="14" width="10.75" style="83" bestFit="1" customWidth="1"/>
    <col min="15" max="15" width="13.375" style="83" bestFit="1" customWidth="1"/>
  </cols>
  <sheetData>
    <row r="2" spans="2:15" ht="26.25" x14ac:dyDescent="0.4">
      <c r="B2" s="243" t="s">
        <v>39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5"/>
    </row>
    <row r="3" spans="2:15" x14ac:dyDescent="0.25">
      <c r="B3" s="242" t="s">
        <v>43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2:15" x14ac:dyDescent="0.25">
      <c r="B4" s="103" t="s">
        <v>38</v>
      </c>
      <c r="C4" s="103" t="s">
        <v>20</v>
      </c>
      <c r="D4" s="103" t="s">
        <v>21</v>
      </c>
      <c r="E4" s="103" t="s">
        <v>22</v>
      </c>
      <c r="F4" s="103" t="s">
        <v>23</v>
      </c>
      <c r="G4" s="103" t="s">
        <v>24</v>
      </c>
      <c r="H4" s="103" t="s">
        <v>25</v>
      </c>
      <c r="I4" s="103" t="s">
        <v>26</v>
      </c>
      <c r="J4" s="103" t="s">
        <v>27</v>
      </c>
      <c r="K4" s="103" t="s">
        <v>28</v>
      </c>
      <c r="L4" s="103" t="s">
        <v>29</v>
      </c>
      <c r="M4" s="103" t="s">
        <v>30</v>
      </c>
      <c r="N4" s="103" t="s">
        <v>31</v>
      </c>
      <c r="O4" s="103" t="s">
        <v>16</v>
      </c>
    </row>
    <row r="5" spans="2:15" x14ac:dyDescent="0.25">
      <c r="B5" s="17" t="s">
        <v>40</v>
      </c>
      <c r="C5" s="32">
        <f>+PRODUCTO!E81</f>
        <v>375000</v>
      </c>
      <c r="D5" s="32">
        <f>+PRODUCTO!E82</f>
        <v>101209</v>
      </c>
      <c r="E5" s="32">
        <f>+PRODUCTO!E83</f>
        <v>0</v>
      </c>
      <c r="F5" s="32">
        <f>+PRODUCTO!E84</f>
        <v>49875</v>
      </c>
      <c r="G5" s="32">
        <f>+PRODUCTO!E85</f>
        <v>333125</v>
      </c>
      <c r="H5" s="32">
        <f>+PRODUCTO!E86</f>
        <v>143501</v>
      </c>
      <c r="I5" s="32">
        <f>+PRODUCTO!E87</f>
        <v>66500</v>
      </c>
      <c r="J5" s="32">
        <f>+PRODUCTO!E88</f>
        <v>0</v>
      </c>
      <c r="K5" s="32">
        <f>+PRODUCTO!E89</f>
        <v>77001</v>
      </c>
      <c r="L5" s="32">
        <f>+PRODUCTO!E90</f>
        <v>49875</v>
      </c>
      <c r="M5" s="32">
        <f>+PRODUCTO!E91</f>
        <v>633000</v>
      </c>
      <c r="N5" s="32">
        <f>+PRODUCTO!E92</f>
        <v>0</v>
      </c>
      <c r="O5" s="36">
        <f>+SUM(C5:N5)</f>
        <v>1829086</v>
      </c>
    </row>
    <row r="6" spans="2:15" x14ac:dyDescent="0.25">
      <c r="B6" s="17" t="s">
        <v>41</v>
      </c>
      <c r="C6" s="32">
        <f>+PRODUCTO!G115</f>
        <v>105000</v>
      </c>
      <c r="D6" s="32">
        <f>+PRODUCTO!G116</f>
        <v>210000</v>
      </c>
      <c r="E6" s="32">
        <f>+PRODUCTO!G117</f>
        <v>560000</v>
      </c>
      <c r="F6" s="32">
        <f>+PRODUCTO!G118</f>
        <v>105000</v>
      </c>
      <c r="G6" s="32">
        <f>+PRODUCTO!G119</f>
        <v>332500</v>
      </c>
      <c r="H6" s="32">
        <f>+PRODUCTO!G120</f>
        <v>280000</v>
      </c>
      <c r="I6" s="32">
        <f>+PRODUCTO!G121</f>
        <v>350000</v>
      </c>
      <c r="J6" s="32">
        <f>+PRODUCTO!G122</f>
        <v>455000</v>
      </c>
      <c r="K6" s="32">
        <f>+PRODUCTO!G123</f>
        <v>770000</v>
      </c>
      <c r="L6" s="32">
        <f>+PRODUCTO!G124</f>
        <v>840000</v>
      </c>
      <c r="M6" s="32">
        <f>+PRODUCTO!G125</f>
        <v>1085000</v>
      </c>
      <c r="N6" s="32">
        <f>+PRODUCTO!G126</f>
        <v>840000</v>
      </c>
      <c r="O6" s="36">
        <f t="shared" ref="O6:O8" si="0">+SUM(C6:N6)</f>
        <v>5932500</v>
      </c>
    </row>
    <row r="7" spans="2:15" x14ac:dyDescent="0.25">
      <c r="B7" s="17" t="s">
        <v>42</v>
      </c>
      <c r="C7" s="32">
        <f>+PRODUCTO!E135</f>
        <v>2145100</v>
      </c>
      <c r="D7" s="32">
        <f>+PRODUCTO!E136</f>
        <v>0</v>
      </c>
      <c r="E7" s="32">
        <f>+PRODUCTO!E137</f>
        <v>322250</v>
      </c>
      <c r="F7" s="32">
        <f>+PRODUCTO!E138</f>
        <v>36000</v>
      </c>
      <c r="G7" s="32">
        <f>+PRODUCTO!E139</f>
        <v>15000</v>
      </c>
      <c r="H7" s="32">
        <f>+PRODUCTO!E140</f>
        <v>38000</v>
      </c>
      <c r="I7" s="32">
        <f>+PRODUCTO!E141</f>
        <v>0</v>
      </c>
      <c r="J7" s="32">
        <f>+PRODUCTO!E142</f>
        <v>60000</v>
      </c>
      <c r="K7" s="32">
        <f>+PRODUCTO!E143</f>
        <v>8000</v>
      </c>
      <c r="L7" s="32">
        <f>+PRODUCTO!E144</f>
        <v>23000</v>
      </c>
      <c r="M7" s="32">
        <f>+PRODUCTO!E145</f>
        <v>0</v>
      </c>
      <c r="N7" s="32">
        <f>+PRODUCTO!E146</f>
        <v>0</v>
      </c>
      <c r="O7" s="36">
        <f t="shared" si="0"/>
        <v>2647350</v>
      </c>
    </row>
    <row r="8" spans="2:15" s="3" customFormat="1" x14ac:dyDescent="0.25">
      <c r="B8" s="17" t="s">
        <v>115</v>
      </c>
      <c r="C8" s="32">
        <f>+'INVERSIONES '!$J$19</f>
        <v>103236.11111111112</v>
      </c>
      <c r="D8" s="32">
        <f>+'INVERSIONES '!$J$19</f>
        <v>103236.11111111112</v>
      </c>
      <c r="E8" s="32">
        <f>+'INVERSIONES '!$J$19</f>
        <v>103236.11111111112</v>
      </c>
      <c r="F8" s="32">
        <f>+'INVERSIONES '!$J$19</f>
        <v>103236.11111111112</v>
      </c>
      <c r="G8" s="32">
        <f>+'INVERSIONES '!$J$19</f>
        <v>103236.11111111112</v>
      </c>
      <c r="H8" s="32">
        <f>+'INVERSIONES '!$J$19</f>
        <v>103236.11111111112</v>
      </c>
      <c r="I8" s="32">
        <f>+'INVERSIONES '!$J$19</f>
        <v>103236.11111111112</v>
      </c>
      <c r="J8" s="32">
        <f>+'INVERSIONES '!$J$19</f>
        <v>103236.11111111112</v>
      </c>
      <c r="K8" s="32">
        <f>+'INVERSIONES '!$J$19</f>
        <v>103236.11111111112</v>
      </c>
      <c r="L8" s="32">
        <f>+'INVERSIONES '!$J$19</f>
        <v>103236.11111111112</v>
      </c>
      <c r="M8" s="32">
        <f>+'INVERSIONES '!$J$19</f>
        <v>103236.11111111112</v>
      </c>
      <c r="N8" s="32">
        <f>+'INVERSIONES '!$J$19</f>
        <v>103236.11111111112</v>
      </c>
      <c r="O8" s="36">
        <f t="shared" si="0"/>
        <v>1238833.3333333335</v>
      </c>
    </row>
    <row r="9" spans="2:15" s="3" customFormat="1" x14ac:dyDescent="0.25">
      <c r="B9" s="233" t="s">
        <v>16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49">
        <f>+SUM(O5:O8)</f>
        <v>11647769.333333334</v>
      </c>
    </row>
    <row r="10" spans="2:15" x14ac:dyDescent="0.25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2:15" x14ac:dyDescent="0.25">
      <c r="B11" s="211" t="s">
        <v>44</v>
      </c>
      <c r="C11" s="211"/>
      <c r="D11" s="211"/>
      <c r="E11" s="211"/>
      <c r="F11" s="211"/>
      <c r="G11" s="211"/>
      <c r="H11" s="211"/>
      <c r="I11" s="21"/>
      <c r="J11" s="21"/>
      <c r="K11" s="21"/>
      <c r="L11" s="21"/>
      <c r="M11" s="21"/>
      <c r="N11" s="21"/>
      <c r="O11" s="22"/>
    </row>
    <row r="12" spans="2:15" x14ac:dyDescent="0.25">
      <c r="B12" s="103" t="s">
        <v>38</v>
      </c>
      <c r="C12" s="103" t="s">
        <v>20</v>
      </c>
      <c r="D12" s="103" t="s">
        <v>21</v>
      </c>
      <c r="E12" s="103" t="s">
        <v>22</v>
      </c>
      <c r="F12" s="103" t="s">
        <v>23</v>
      </c>
      <c r="G12" s="103" t="s">
        <v>24</v>
      </c>
      <c r="H12" s="103" t="s">
        <v>16</v>
      </c>
      <c r="I12" s="21"/>
      <c r="J12" s="21"/>
      <c r="K12" s="21"/>
      <c r="L12" s="21"/>
      <c r="M12" s="21"/>
      <c r="N12" s="21"/>
      <c r="O12" s="22"/>
    </row>
    <row r="13" spans="2:15" x14ac:dyDescent="0.25">
      <c r="B13" s="17" t="s">
        <v>40</v>
      </c>
      <c r="C13" s="32">
        <f>+PRODUCTO!E101</f>
        <v>154002</v>
      </c>
      <c r="D13" s="32">
        <f>+PRODUCTO!E102</f>
        <v>99750</v>
      </c>
      <c r="E13" s="32">
        <f>+PRODUCTO!E103</f>
        <v>0</v>
      </c>
      <c r="F13" s="32">
        <f>+PRODUCTO!E104</f>
        <v>0</v>
      </c>
      <c r="G13" s="32">
        <f>+PRODUCTO!E105</f>
        <v>0</v>
      </c>
      <c r="H13" s="32">
        <f>+SUM(C13:G13)</f>
        <v>253752</v>
      </c>
      <c r="I13" s="21"/>
      <c r="J13" s="21"/>
      <c r="K13" s="21"/>
      <c r="L13" s="21"/>
      <c r="M13" s="21"/>
      <c r="N13" s="21"/>
      <c r="O13" s="22"/>
    </row>
    <row r="14" spans="2:15" x14ac:dyDescent="0.25">
      <c r="B14" s="17" t="s">
        <v>41</v>
      </c>
      <c r="C14" s="32">
        <f>+PRODUCTO!L115</f>
        <v>980000</v>
      </c>
      <c r="D14" s="32">
        <f>+PRODUCTO!L116</f>
        <v>875000</v>
      </c>
      <c r="E14" s="32">
        <f>+PRODUCTO!L117</f>
        <v>700000</v>
      </c>
      <c r="F14" s="32">
        <f>+PRODUCTO!L118</f>
        <v>700000</v>
      </c>
      <c r="G14" s="32">
        <f>+PRODUCTO!L119</f>
        <v>700000</v>
      </c>
      <c r="H14" s="32">
        <f t="shared" ref="H14:H16" si="1">+SUM(C14:G14)</f>
        <v>3955000</v>
      </c>
      <c r="I14" s="21"/>
      <c r="J14" s="21"/>
      <c r="K14" s="21"/>
      <c r="L14" s="21"/>
      <c r="M14" s="21"/>
      <c r="N14" s="21"/>
      <c r="O14" s="22"/>
    </row>
    <row r="15" spans="2:15" x14ac:dyDescent="0.25">
      <c r="B15" s="17" t="s">
        <v>42</v>
      </c>
      <c r="C15" s="32">
        <f>+PRODUCTO!J135</f>
        <v>23000</v>
      </c>
      <c r="D15" s="32">
        <f>+PRODUCTO!J136</f>
        <v>0</v>
      </c>
      <c r="E15" s="32">
        <f>+PRODUCTO!J137</f>
        <v>0</v>
      </c>
      <c r="F15" s="32">
        <f>+PRODUCTO!J138</f>
        <v>23000</v>
      </c>
      <c r="G15" s="32">
        <f>+PRODUCTO!J139</f>
        <v>0</v>
      </c>
      <c r="H15" s="32">
        <f t="shared" si="1"/>
        <v>46000</v>
      </c>
      <c r="I15" s="21"/>
      <c r="J15" s="21"/>
      <c r="K15" s="21"/>
      <c r="L15" s="21"/>
      <c r="M15" s="21"/>
      <c r="N15" s="21"/>
      <c r="O15" s="22"/>
    </row>
    <row r="16" spans="2:15" x14ac:dyDescent="0.25">
      <c r="B16" s="17" t="s">
        <v>115</v>
      </c>
      <c r="C16" s="32">
        <f>+'INVERSIONES '!$J$19</f>
        <v>103236.11111111112</v>
      </c>
      <c r="D16" s="32">
        <f>+'INVERSIONES '!$J$19</f>
        <v>103236.11111111112</v>
      </c>
      <c r="E16" s="32">
        <f>+'INVERSIONES '!$J$19</f>
        <v>103236.11111111112</v>
      </c>
      <c r="F16" s="32">
        <f>+'INVERSIONES '!$J$19</f>
        <v>103236.11111111112</v>
      </c>
      <c r="G16" s="32">
        <f>+'INVERSIONES '!$J$19</f>
        <v>103236.11111111112</v>
      </c>
      <c r="H16" s="32">
        <f t="shared" si="1"/>
        <v>516180.55555555562</v>
      </c>
      <c r="I16" s="21"/>
      <c r="J16" s="37"/>
      <c r="K16" s="21"/>
      <c r="L16" s="21"/>
      <c r="M16" s="21"/>
      <c r="N16" s="21"/>
      <c r="O16" s="22"/>
    </row>
    <row r="17" spans="2:15" x14ac:dyDescent="0.25">
      <c r="B17" s="233" t="s">
        <v>16</v>
      </c>
      <c r="C17" s="239"/>
      <c r="D17" s="239"/>
      <c r="E17" s="239"/>
      <c r="F17" s="239"/>
      <c r="G17" s="240"/>
      <c r="H17" s="36">
        <f>+SUM(H13:H16)</f>
        <v>4770932.555555556</v>
      </c>
      <c r="I17" s="21"/>
      <c r="J17" s="21"/>
      <c r="K17" s="21"/>
      <c r="L17" s="21"/>
      <c r="M17" s="21"/>
      <c r="N17" s="21"/>
      <c r="O17" s="22"/>
    </row>
    <row r="18" spans="2:15" x14ac:dyDescent="0.25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2:15" x14ac:dyDescent="0.25">
      <c r="B19" s="42" t="s">
        <v>38</v>
      </c>
      <c r="C19" s="5" t="s">
        <v>17</v>
      </c>
      <c r="D19" s="5" t="s">
        <v>18</v>
      </c>
      <c r="E19" s="21"/>
      <c r="F19" s="42" t="s">
        <v>171</v>
      </c>
      <c r="G19" s="5" t="s">
        <v>17</v>
      </c>
      <c r="H19" s="5" t="s">
        <v>18</v>
      </c>
      <c r="I19" s="21"/>
      <c r="J19" s="21"/>
      <c r="K19" s="21"/>
      <c r="L19" s="21"/>
      <c r="M19" s="21"/>
      <c r="N19" s="21"/>
      <c r="O19" s="22"/>
    </row>
    <row r="20" spans="2:15" x14ac:dyDescent="0.25">
      <c r="B20" s="17" t="s">
        <v>40</v>
      </c>
      <c r="C20" s="32">
        <f>+O5</f>
        <v>1829086</v>
      </c>
      <c r="D20" s="32">
        <f>+H13</f>
        <v>253752</v>
      </c>
      <c r="E20" s="21"/>
      <c r="F20" s="17" t="s">
        <v>172</v>
      </c>
      <c r="G20" s="32">
        <v>0</v>
      </c>
      <c r="H20" s="32">
        <v>0</v>
      </c>
      <c r="I20" s="21"/>
      <c r="J20" s="21"/>
      <c r="K20" s="21"/>
      <c r="L20" s="21"/>
      <c r="M20" s="21"/>
      <c r="N20" s="21"/>
      <c r="O20" s="22"/>
    </row>
    <row r="21" spans="2:15" x14ac:dyDescent="0.25">
      <c r="B21" s="17" t="s">
        <v>41</v>
      </c>
      <c r="C21" s="32">
        <f>+O6</f>
        <v>5932500</v>
      </c>
      <c r="D21" s="32">
        <f t="shared" ref="D21" si="2">+H14</f>
        <v>3955000</v>
      </c>
      <c r="E21" s="21"/>
      <c r="F21" s="17" t="s">
        <v>173</v>
      </c>
      <c r="G21" s="32">
        <v>0</v>
      </c>
      <c r="H21" s="32">
        <v>0</v>
      </c>
      <c r="I21" s="21"/>
      <c r="J21" s="21"/>
      <c r="K21" s="21"/>
      <c r="L21" s="21"/>
      <c r="M21" s="21"/>
      <c r="N21" s="21"/>
      <c r="O21" s="22"/>
    </row>
    <row r="22" spans="2:15" x14ac:dyDescent="0.25">
      <c r="B22" s="17" t="s">
        <v>42</v>
      </c>
      <c r="C22" s="32">
        <f>+O7</f>
        <v>2647350</v>
      </c>
      <c r="D22" s="32">
        <f>+H15</f>
        <v>46000</v>
      </c>
      <c r="E22" s="21"/>
      <c r="F22" s="17" t="s">
        <v>174</v>
      </c>
      <c r="G22" s="32">
        <v>0</v>
      </c>
      <c r="H22" s="32">
        <v>0</v>
      </c>
      <c r="I22" s="21"/>
      <c r="J22" s="21"/>
      <c r="K22" s="21"/>
      <c r="L22" s="21"/>
      <c r="M22" s="21"/>
      <c r="N22" s="21"/>
      <c r="O22" s="22"/>
    </row>
    <row r="23" spans="2:15" s="3" customFormat="1" x14ac:dyDescent="0.25">
      <c r="B23" s="17" t="s">
        <v>115</v>
      </c>
      <c r="C23" s="32">
        <f>+O8</f>
        <v>1238833.3333333335</v>
      </c>
      <c r="D23" s="32">
        <f>+H16</f>
        <v>516180.55555555562</v>
      </c>
      <c r="E23" s="21"/>
      <c r="F23" s="17" t="s">
        <v>175</v>
      </c>
      <c r="G23" s="32">
        <v>0</v>
      </c>
      <c r="H23" s="32">
        <v>0</v>
      </c>
      <c r="I23" s="21"/>
      <c r="J23" s="21"/>
      <c r="K23" s="21"/>
      <c r="L23" s="21"/>
      <c r="M23" s="21"/>
      <c r="N23" s="21"/>
      <c r="O23" s="22"/>
    </row>
    <row r="24" spans="2:15" x14ac:dyDescent="0.25">
      <c r="B24" s="5" t="s">
        <v>16</v>
      </c>
      <c r="C24" s="64">
        <f>+SUM(C20:C23)</f>
        <v>11647769.333333334</v>
      </c>
      <c r="D24" s="64">
        <f>+SUM(D20:D23)</f>
        <v>4770932.555555556</v>
      </c>
      <c r="E24" s="21"/>
      <c r="F24" s="5" t="s">
        <v>16</v>
      </c>
      <c r="G24" s="64">
        <f>+SUM(G20:G23)</f>
        <v>0</v>
      </c>
      <c r="H24" s="64">
        <f>+SUM(H20:H23)</f>
        <v>0</v>
      </c>
      <c r="I24" s="21"/>
      <c r="J24" s="21"/>
      <c r="K24" s="21"/>
      <c r="L24" s="21"/>
      <c r="M24" s="21"/>
      <c r="N24" s="21"/>
      <c r="O24" s="22"/>
    </row>
    <row r="25" spans="2:15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x14ac:dyDescent="0.25">
      <c r="B26" s="39"/>
      <c r="C26" s="104"/>
      <c r="D26" s="10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3"/>
    </row>
  </sheetData>
  <mergeCells count="5">
    <mergeCell ref="B3:O3"/>
    <mergeCell ref="B11:H11"/>
    <mergeCell ref="B17:G17"/>
    <mergeCell ref="B9:N9"/>
    <mergeCell ref="B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topLeftCell="B112" zoomScale="82" zoomScaleNormal="82" workbookViewId="0">
      <selection activeCell="C28" sqref="C27:Q28"/>
    </sheetView>
  </sheetViews>
  <sheetFormatPr baseColWidth="10" defaultRowHeight="15" x14ac:dyDescent="0.25"/>
  <cols>
    <col min="1" max="1" width="11.375" style="4"/>
    <col min="2" max="2" width="11.375" style="21"/>
    <col min="3" max="3" width="29.75" style="83" bestFit="1" customWidth="1"/>
    <col min="4" max="4" width="12.625" style="83" bestFit="1" customWidth="1"/>
    <col min="5" max="5" width="13" style="83" bestFit="1" customWidth="1"/>
    <col min="6" max="6" width="38.25" style="83" bestFit="1" customWidth="1"/>
    <col min="7" max="7" width="18.125" style="83" customWidth="1"/>
    <col min="8" max="8" width="18.875" style="83" bestFit="1" customWidth="1"/>
    <col min="9" max="9" width="21.75" style="83" bestFit="1" customWidth="1"/>
    <col min="10" max="10" width="20.625" style="83" bestFit="1" customWidth="1"/>
    <col min="11" max="11" width="14.25" style="83" bestFit="1" customWidth="1"/>
    <col min="12" max="12" width="15.125" style="83" bestFit="1" customWidth="1"/>
    <col min="13" max="14" width="12.625" style="83" bestFit="1" customWidth="1"/>
    <col min="15" max="15" width="17.25" style="83" bestFit="1" customWidth="1"/>
    <col min="16" max="16" width="12.625" style="83" bestFit="1" customWidth="1"/>
    <col min="17" max="17" width="15.125" style="83" bestFit="1" customWidth="1"/>
    <col min="18" max="18" width="11.875" style="83" bestFit="1" customWidth="1"/>
  </cols>
  <sheetData>
    <row r="1" spans="1:18" s="3" customFormat="1" x14ac:dyDescent="0.25">
      <c r="A1" s="4"/>
      <c r="B1" s="21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3" customFormat="1" x14ac:dyDescent="0.25">
      <c r="A2" s="4"/>
      <c r="B2" s="2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3" customFormat="1" ht="26.25" customHeight="1" x14ac:dyDescent="0.25">
      <c r="A3" s="4"/>
      <c r="B3" s="214" t="s">
        <v>169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18" s="3" customFormat="1" x14ac:dyDescent="0.25">
      <c r="A4" s="4"/>
      <c r="B4" s="1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s="3" customFormat="1" x14ac:dyDescent="0.25">
      <c r="A5" s="4"/>
      <c r="B5" s="1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18" s="3" customFormat="1" ht="30" customHeight="1" x14ac:dyDescent="0.25">
      <c r="A6" s="4"/>
      <c r="B6" s="18"/>
      <c r="C6" s="21"/>
      <c r="D6" s="21"/>
      <c r="E6" s="21"/>
      <c r="F6" s="211" t="s">
        <v>80</v>
      </c>
      <c r="G6" s="211"/>
      <c r="H6" s="211"/>
      <c r="I6" s="233" t="s">
        <v>216</v>
      </c>
      <c r="J6" s="240"/>
      <c r="K6" s="240" t="s">
        <v>220</v>
      </c>
      <c r="L6" s="211"/>
      <c r="M6" s="21"/>
      <c r="N6" s="21"/>
      <c r="O6" s="21"/>
      <c r="P6" s="21"/>
      <c r="Q6" s="21"/>
      <c r="R6" s="22"/>
    </row>
    <row r="7" spans="1:18" s="3" customFormat="1" x14ac:dyDescent="0.25">
      <c r="A7" s="4"/>
      <c r="B7" s="18"/>
      <c r="C7" s="21"/>
      <c r="D7" s="21"/>
      <c r="E7" s="21"/>
      <c r="F7" s="55" t="s">
        <v>45</v>
      </c>
      <c r="G7" s="56" t="s">
        <v>17</v>
      </c>
      <c r="H7" s="105" t="s">
        <v>18</v>
      </c>
      <c r="I7" s="202" t="s">
        <v>217</v>
      </c>
      <c r="J7" s="25" t="s">
        <v>219</v>
      </c>
      <c r="K7" s="97" t="s">
        <v>221</v>
      </c>
      <c r="L7" s="5" t="s">
        <v>222</v>
      </c>
      <c r="M7" s="21"/>
      <c r="N7" s="21"/>
      <c r="O7" s="21"/>
      <c r="P7" s="21"/>
      <c r="Q7" s="21"/>
      <c r="R7" s="22"/>
    </row>
    <row r="8" spans="1:18" x14ac:dyDescent="0.25">
      <c r="B8" s="18"/>
      <c r="C8" s="21"/>
      <c r="D8" s="21"/>
      <c r="E8" s="21"/>
      <c r="F8" s="18" t="s">
        <v>69</v>
      </c>
      <c r="G8" s="35">
        <f>+PRODUCTO!E166</f>
        <v>16488780</v>
      </c>
      <c r="H8" s="35">
        <f>+PRODUCTO!I159</f>
        <v>13386240</v>
      </c>
      <c r="I8" s="203">
        <f>+H8-G8</f>
        <v>-3102540</v>
      </c>
      <c r="J8" s="171">
        <f>+(I8/H8)</f>
        <v>-0.23177083333333334</v>
      </c>
      <c r="K8" s="125">
        <f>+G8/G8</f>
        <v>1</v>
      </c>
      <c r="L8" s="171">
        <f>+H8/H8</f>
        <v>1</v>
      </c>
      <c r="M8" s="21"/>
      <c r="N8" s="21"/>
      <c r="O8" s="21"/>
      <c r="P8" s="21"/>
      <c r="Q8" s="21"/>
      <c r="R8" s="22"/>
    </row>
    <row r="9" spans="1:18" ht="15.75" thickBot="1" x14ac:dyDescent="0.3">
      <c r="B9" s="18"/>
      <c r="C9" s="21"/>
      <c r="D9" s="21"/>
      <c r="E9" s="21"/>
      <c r="F9" s="107" t="s">
        <v>70</v>
      </c>
      <c r="G9" s="108">
        <f>+PRODUCTO!E44</f>
        <v>1149571.0315052508</v>
      </c>
      <c r="H9" s="108">
        <f>+PRODUCTO!I37</f>
        <v>933266.96849474916</v>
      </c>
      <c r="I9" s="207">
        <f t="shared" ref="I9:I23" si="0">+H9-G9</f>
        <v>-216304.06301050168</v>
      </c>
      <c r="J9" s="172">
        <f t="shared" ref="J9:J23" si="1">+(I9/H9)</f>
        <v>-0.23177083333333323</v>
      </c>
      <c r="K9" s="177">
        <f>+G9/G8</f>
        <v>6.9718380104850139E-2</v>
      </c>
      <c r="L9" s="172">
        <f>+H9/H8</f>
        <v>6.9718380104850139E-2</v>
      </c>
      <c r="M9" s="37"/>
      <c r="N9" s="21"/>
      <c r="O9" s="21"/>
      <c r="P9" s="21"/>
      <c r="Q9" s="21"/>
      <c r="R9" s="22"/>
    </row>
    <row r="10" spans="1:18" ht="15.75" thickTop="1" x14ac:dyDescent="0.25">
      <c r="B10" s="18"/>
      <c r="C10" s="21"/>
      <c r="D10" s="21"/>
      <c r="E10" s="21"/>
      <c r="F10" s="8" t="s">
        <v>71</v>
      </c>
      <c r="G10" s="57">
        <f>+G8-G9</f>
        <v>15339208.968494749</v>
      </c>
      <c r="H10" s="57">
        <f>+H8-H9</f>
        <v>12452973.031505251</v>
      </c>
      <c r="I10" s="205">
        <f t="shared" si="0"/>
        <v>-2886235.9369894974</v>
      </c>
      <c r="J10" s="181">
        <f t="shared" si="1"/>
        <v>-0.23177083333333326</v>
      </c>
      <c r="K10" s="143">
        <f>+K8-K9</f>
        <v>0.9302816198951499</v>
      </c>
      <c r="L10" s="181">
        <f>+L8-L9</f>
        <v>0.9302816198951499</v>
      </c>
      <c r="M10" s="21"/>
      <c r="N10" s="21"/>
      <c r="O10" s="21"/>
      <c r="P10" s="21"/>
      <c r="Q10" s="21"/>
      <c r="R10" s="22"/>
    </row>
    <row r="11" spans="1:18" x14ac:dyDescent="0.25">
      <c r="B11" s="18"/>
      <c r="C11" s="21"/>
      <c r="D11" s="21"/>
      <c r="E11" s="21"/>
      <c r="F11" s="18"/>
      <c r="G11" s="35"/>
      <c r="H11" s="35"/>
      <c r="I11" s="204"/>
      <c r="J11" s="171"/>
      <c r="K11" s="125"/>
      <c r="L11" s="171"/>
      <c r="M11" s="21"/>
      <c r="N11" s="21"/>
      <c r="O11" s="21"/>
      <c r="P11" s="21"/>
      <c r="Q11" s="21"/>
      <c r="R11" s="22"/>
    </row>
    <row r="12" spans="1:18" x14ac:dyDescent="0.25">
      <c r="B12" s="18"/>
      <c r="C12" s="21"/>
      <c r="D12" s="21"/>
      <c r="E12" s="21"/>
      <c r="F12" s="18" t="s">
        <v>72</v>
      </c>
      <c r="G12" s="35">
        <f>+SUM('GASTOS '!C21:C23)</f>
        <v>9818683.333333334</v>
      </c>
      <c r="H12" s="35">
        <f>+SUM('GASTOS '!D21:D23)</f>
        <v>4517180.555555556</v>
      </c>
      <c r="I12" s="204">
        <f t="shared" si="0"/>
        <v>-5301502.777777778</v>
      </c>
      <c r="J12" s="171">
        <f t="shared" si="1"/>
        <v>-1.1736309214511262</v>
      </c>
      <c r="K12" s="125">
        <f>+G12/G12</f>
        <v>1</v>
      </c>
      <c r="L12" s="171">
        <f>+H12/H12</f>
        <v>1</v>
      </c>
      <c r="M12" s="37"/>
      <c r="N12" s="37"/>
      <c r="O12" s="21"/>
      <c r="P12" s="21"/>
      <c r="Q12" s="21"/>
      <c r="R12" s="22"/>
    </row>
    <row r="13" spans="1:18" ht="15.75" thickBot="1" x14ac:dyDescent="0.3">
      <c r="B13" s="18"/>
      <c r="C13" s="21"/>
      <c r="D13" s="21"/>
      <c r="E13" s="21"/>
      <c r="F13" s="107" t="s">
        <v>73</v>
      </c>
      <c r="G13" s="108">
        <f>+'GASTOS '!G24</f>
        <v>0</v>
      </c>
      <c r="H13" s="108">
        <f>+'GASTOS '!H24</f>
        <v>0</v>
      </c>
      <c r="I13" s="207">
        <f t="shared" si="0"/>
        <v>0</v>
      </c>
      <c r="J13" s="172" t="e">
        <f t="shared" si="1"/>
        <v>#DIV/0!</v>
      </c>
      <c r="K13" s="177">
        <f>+G13/G12</f>
        <v>0</v>
      </c>
      <c r="L13" s="172">
        <f>+H13/H12</f>
        <v>0</v>
      </c>
      <c r="M13" s="21"/>
      <c r="N13" s="21"/>
      <c r="O13" s="21"/>
      <c r="P13" s="21"/>
      <c r="Q13" s="21"/>
      <c r="R13" s="22"/>
    </row>
    <row r="14" spans="1:18" ht="15.75" thickTop="1" x14ac:dyDescent="0.25">
      <c r="B14" s="18"/>
      <c r="C14" s="21"/>
      <c r="D14" s="21"/>
      <c r="E14" s="21"/>
      <c r="F14" s="18" t="s">
        <v>74</v>
      </c>
      <c r="G14" s="35">
        <f>+G12+G13</f>
        <v>9818683.333333334</v>
      </c>
      <c r="H14" s="35">
        <f>+H12+H13</f>
        <v>4517180.555555556</v>
      </c>
      <c r="I14" s="204">
        <f t="shared" si="0"/>
        <v>-5301502.777777778</v>
      </c>
      <c r="J14" s="171">
        <f t="shared" si="1"/>
        <v>-1.1736309214511262</v>
      </c>
      <c r="K14" s="143">
        <f>+K12-K13</f>
        <v>1</v>
      </c>
      <c r="L14" s="181">
        <f>+L12-L13</f>
        <v>1</v>
      </c>
      <c r="M14" s="21"/>
      <c r="N14" s="21"/>
      <c r="O14" s="21"/>
      <c r="P14" s="21"/>
      <c r="Q14" s="21"/>
      <c r="R14" s="22"/>
    </row>
    <row r="15" spans="1:18" x14ac:dyDescent="0.25">
      <c r="B15" s="18"/>
      <c r="C15" s="21"/>
      <c r="D15" s="21"/>
      <c r="E15" s="21"/>
      <c r="F15" s="18"/>
      <c r="G15" s="35"/>
      <c r="H15" s="35"/>
      <c r="I15" s="204">
        <f t="shared" si="0"/>
        <v>0</v>
      </c>
      <c r="J15" s="171"/>
      <c r="K15" s="125"/>
      <c r="L15" s="171"/>
      <c r="M15" s="21"/>
      <c r="N15" s="21"/>
      <c r="O15" s="21"/>
      <c r="P15" s="21"/>
      <c r="Q15" s="21"/>
      <c r="R15" s="22"/>
    </row>
    <row r="16" spans="1:18" x14ac:dyDescent="0.25">
      <c r="B16" s="18"/>
      <c r="C16" s="21"/>
      <c r="D16" s="21"/>
      <c r="E16" s="21"/>
      <c r="F16" s="8" t="s">
        <v>75</v>
      </c>
      <c r="G16" s="57">
        <f>+G10-G14</f>
        <v>5520525.6351614147</v>
      </c>
      <c r="H16" s="57">
        <f>+H10-H14</f>
        <v>7935792.4759496953</v>
      </c>
      <c r="I16" s="205">
        <f t="shared" si="0"/>
        <v>2415266.8407882806</v>
      </c>
      <c r="J16" s="171">
        <f t="shared" si="1"/>
        <v>0.30435105858778644</v>
      </c>
      <c r="K16" s="125"/>
      <c r="L16" s="171"/>
      <c r="M16" s="21"/>
      <c r="N16" s="21"/>
      <c r="O16" s="21"/>
      <c r="P16" s="21"/>
      <c r="Q16" s="21"/>
      <c r="R16" s="22"/>
    </row>
    <row r="17" spans="2:18" x14ac:dyDescent="0.25">
      <c r="B17" s="18"/>
      <c r="C17" s="21"/>
      <c r="D17" s="21"/>
      <c r="E17" s="21"/>
      <c r="F17" s="18"/>
      <c r="G17" s="35"/>
      <c r="H17" s="35"/>
      <c r="I17" s="204"/>
      <c r="J17" s="171"/>
      <c r="K17" s="125"/>
      <c r="L17" s="171"/>
      <c r="M17" s="21"/>
      <c r="N17" s="37"/>
      <c r="O17" s="21"/>
      <c r="P17" s="21"/>
      <c r="Q17" s="21"/>
      <c r="R17" s="22"/>
    </row>
    <row r="18" spans="2:18" x14ac:dyDescent="0.25">
      <c r="B18" s="18"/>
      <c r="C18" s="21"/>
      <c r="D18" s="21"/>
      <c r="E18" s="21"/>
      <c r="F18" s="18" t="s">
        <v>76</v>
      </c>
      <c r="G18" s="35">
        <f>+'INVERSIONES '!K36</f>
        <v>441122.17325087124</v>
      </c>
      <c r="H18" s="35">
        <f>+'INVERSIONES '!K40</f>
        <v>-1.6731181097089884E-10</v>
      </c>
      <c r="I18" s="204">
        <f t="shared" si="0"/>
        <v>-441122.17325087142</v>
      </c>
      <c r="J18" s="171">
        <f>+I18/H18</f>
        <v>2636527395711456.5</v>
      </c>
      <c r="K18" s="125">
        <f>+G18/G18</f>
        <v>1</v>
      </c>
      <c r="L18" s="171">
        <f>+H18/H18</f>
        <v>1</v>
      </c>
      <c r="M18" s="21"/>
      <c r="N18" s="21"/>
      <c r="O18" s="21"/>
      <c r="P18" s="21"/>
      <c r="Q18" s="21"/>
      <c r="R18" s="22"/>
    </row>
    <row r="19" spans="2:18" ht="15.75" thickBot="1" x14ac:dyDescent="0.3">
      <c r="B19" s="18"/>
      <c r="C19" s="21"/>
      <c r="D19" s="21"/>
      <c r="E19" s="21"/>
      <c r="F19" s="107"/>
      <c r="G19" s="108"/>
      <c r="H19" s="108"/>
      <c r="I19" s="207"/>
      <c r="J19" s="172"/>
      <c r="K19" s="177"/>
      <c r="L19" s="172"/>
      <c r="M19" s="21"/>
      <c r="N19" s="21"/>
      <c r="O19" s="21"/>
      <c r="P19" s="21"/>
      <c r="Q19" s="21"/>
      <c r="R19" s="22"/>
    </row>
    <row r="20" spans="2:18" ht="15.75" thickTop="1" x14ac:dyDescent="0.25">
      <c r="B20" s="18"/>
      <c r="C20" s="21"/>
      <c r="D20" s="21"/>
      <c r="E20" s="21"/>
      <c r="F20" s="8" t="s">
        <v>77</v>
      </c>
      <c r="G20" s="57">
        <f>+G16-G18</f>
        <v>5079403.461910544</v>
      </c>
      <c r="H20" s="57">
        <f>+H16-H18</f>
        <v>7935792.4759496953</v>
      </c>
      <c r="I20" s="205">
        <f t="shared" si="0"/>
        <v>2856389.0140391514</v>
      </c>
      <c r="J20" s="171">
        <f t="shared" si="1"/>
        <v>0.35993746342230559</v>
      </c>
      <c r="K20" s="143">
        <f>+G20/G20</f>
        <v>1</v>
      </c>
      <c r="L20" s="181">
        <f>+H20/H20</f>
        <v>1</v>
      </c>
      <c r="M20" s="21"/>
      <c r="N20" s="21"/>
      <c r="O20" s="21"/>
      <c r="P20" s="21"/>
      <c r="Q20" s="21"/>
      <c r="R20" s="22"/>
    </row>
    <row r="21" spans="2:18" x14ac:dyDescent="0.25">
      <c r="B21" s="18"/>
      <c r="C21" s="21"/>
      <c r="D21" s="21"/>
      <c r="E21" s="21"/>
      <c r="F21" s="18" t="s">
        <v>78</v>
      </c>
      <c r="G21" s="35">
        <f>+G20*G25</f>
        <v>0</v>
      </c>
      <c r="H21" s="35">
        <f>+H20*H25</f>
        <v>0</v>
      </c>
      <c r="I21" s="204">
        <f t="shared" si="0"/>
        <v>0</v>
      </c>
      <c r="J21" s="171" t="e">
        <f t="shared" si="1"/>
        <v>#DIV/0!</v>
      </c>
      <c r="K21" s="125"/>
      <c r="L21" s="171"/>
      <c r="M21" s="21"/>
      <c r="N21" s="21"/>
      <c r="O21" s="21"/>
      <c r="P21" s="21"/>
      <c r="Q21" s="21"/>
      <c r="R21" s="22"/>
    </row>
    <row r="22" spans="2:18" ht="15.75" thickBot="1" x14ac:dyDescent="0.3">
      <c r="B22" s="18"/>
      <c r="C22" s="21"/>
      <c r="D22" s="21"/>
      <c r="E22" s="21"/>
      <c r="F22" s="107"/>
      <c r="G22" s="108"/>
      <c r="H22" s="108"/>
      <c r="I22" s="207"/>
      <c r="J22" s="172"/>
      <c r="K22" s="177"/>
      <c r="L22" s="172"/>
      <c r="M22" s="21"/>
      <c r="N22" s="21"/>
      <c r="O22" s="21"/>
      <c r="P22" s="21"/>
      <c r="Q22" s="21"/>
      <c r="R22" s="22"/>
    </row>
    <row r="23" spans="2:18" ht="15.75" thickTop="1" x14ac:dyDescent="0.25">
      <c r="B23" s="18"/>
      <c r="C23" s="21"/>
      <c r="D23" s="21"/>
      <c r="E23" s="21"/>
      <c r="F23" s="9" t="s">
        <v>79</v>
      </c>
      <c r="G23" s="53">
        <f>+G20-G21</f>
        <v>5079403.461910544</v>
      </c>
      <c r="H23" s="53">
        <f>+H20-H21</f>
        <v>7935792.4759496953</v>
      </c>
      <c r="I23" s="206">
        <f t="shared" si="0"/>
        <v>2856389.0140391514</v>
      </c>
      <c r="J23" s="171">
        <f t="shared" si="1"/>
        <v>0.35993746342230559</v>
      </c>
      <c r="K23" s="183">
        <f>+K20</f>
        <v>1</v>
      </c>
      <c r="L23" s="178">
        <f>+L20</f>
        <v>1</v>
      </c>
      <c r="M23" s="21"/>
      <c r="N23" s="21"/>
      <c r="O23" s="21"/>
      <c r="P23" s="21"/>
      <c r="Q23" s="21"/>
      <c r="R23" s="22"/>
    </row>
    <row r="24" spans="2:18" x14ac:dyDescent="0.25">
      <c r="B24" s="18"/>
      <c r="C24" s="21"/>
      <c r="D24" s="21"/>
      <c r="E24" s="21"/>
      <c r="F24" s="21"/>
      <c r="G24" s="21"/>
      <c r="H24" s="21"/>
      <c r="I24" s="21"/>
      <c r="J24" s="84"/>
      <c r="K24" s="21"/>
      <c r="L24" s="21"/>
      <c r="M24" s="21"/>
      <c r="N24" s="21"/>
      <c r="O24" s="21"/>
      <c r="P24" s="21"/>
      <c r="Q24" s="21"/>
      <c r="R24" s="22"/>
    </row>
    <row r="25" spans="2:18" x14ac:dyDescent="0.25">
      <c r="B25" s="18"/>
      <c r="C25" s="21"/>
      <c r="D25" s="21"/>
      <c r="E25" s="21"/>
      <c r="F25" s="14" t="s">
        <v>170</v>
      </c>
      <c r="G25" s="112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</row>
    <row r="26" spans="2:18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spans="2:18" x14ac:dyDescent="0.25">
      <c r="B27" s="18"/>
      <c r="C27" s="242" t="s">
        <v>102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1"/>
      <c r="R27" s="22"/>
    </row>
    <row r="28" spans="2:18" x14ac:dyDescent="0.25">
      <c r="B28" s="18"/>
      <c r="C28" s="249" t="s">
        <v>17</v>
      </c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1"/>
      <c r="Q28" s="21"/>
      <c r="R28" s="22"/>
    </row>
    <row r="29" spans="2:18" x14ac:dyDescent="0.25">
      <c r="B29" s="18"/>
      <c r="C29" s="113" t="s">
        <v>90</v>
      </c>
      <c r="D29" s="114" t="s">
        <v>34</v>
      </c>
      <c r="E29" s="114" t="s">
        <v>21</v>
      </c>
      <c r="F29" s="114" t="s">
        <v>22</v>
      </c>
      <c r="G29" s="114" t="s">
        <v>23</v>
      </c>
      <c r="H29" s="114" t="s">
        <v>24</v>
      </c>
      <c r="I29" s="114" t="s">
        <v>25</v>
      </c>
      <c r="J29" s="114" t="s">
        <v>26</v>
      </c>
      <c r="K29" s="114" t="s">
        <v>27</v>
      </c>
      <c r="L29" s="114" t="s">
        <v>28</v>
      </c>
      <c r="M29" s="114" t="s">
        <v>29</v>
      </c>
      <c r="N29" s="114" t="s">
        <v>30</v>
      </c>
      <c r="O29" s="114" t="s">
        <v>31</v>
      </c>
      <c r="P29" s="115" t="s">
        <v>16</v>
      </c>
      <c r="Q29" s="21"/>
      <c r="R29" s="22"/>
    </row>
    <row r="30" spans="2:18" x14ac:dyDescent="0.25">
      <c r="B30" s="18"/>
      <c r="C30" s="55" t="s">
        <v>94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105"/>
      <c r="Q30" s="21"/>
      <c r="R30" s="22"/>
    </row>
    <row r="31" spans="2:18" x14ac:dyDescent="0.25">
      <c r="B31" s="18"/>
      <c r="C31" s="18" t="s">
        <v>69</v>
      </c>
      <c r="D31" s="35">
        <f>+PRODUCTO!J174</f>
        <v>0</v>
      </c>
      <c r="E31" s="35">
        <f>+PRODUCTO!J175</f>
        <v>0</v>
      </c>
      <c r="F31" s="35">
        <f>+PRODUCTO!J176</f>
        <v>0</v>
      </c>
      <c r="G31" s="35">
        <f>+PRODUCTO!J177</f>
        <v>0</v>
      </c>
      <c r="H31" s="35">
        <f>+PRODUCTO!J178</f>
        <v>278880</v>
      </c>
      <c r="I31" s="35">
        <f>+PRODUCTO!J179</f>
        <v>0</v>
      </c>
      <c r="J31" s="35">
        <f>+PRODUCTO!J180</f>
        <v>888930</v>
      </c>
      <c r="K31" s="35">
        <f>+PRODUCTO!J181</f>
        <v>2213610</v>
      </c>
      <c r="L31" s="35">
        <f>+PRODUCTO!J182</f>
        <v>2771370</v>
      </c>
      <c r="M31" s="35">
        <f>+PRODUCTO!J183</f>
        <v>3311700</v>
      </c>
      <c r="N31" s="35">
        <f>+PRODUCTO!J184</f>
        <v>3660300</v>
      </c>
      <c r="O31" s="35">
        <f>+PRODUCTO!J185</f>
        <v>3363990</v>
      </c>
      <c r="P31" s="110">
        <f>+SUM(D31:O31)</f>
        <v>16488780</v>
      </c>
      <c r="Q31" s="35"/>
      <c r="R31" s="47"/>
    </row>
    <row r="32" spans="2:18" x14ac:dyDescent="0.25">
      <c r="B32" s="18"/>
      <c r="C32" s="55" t="s">
        <v>39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10"/>
      <c r="Q32" s="35"/>
      <c r="R32" s="47"/>
    </row>
    <row r="33" spans="2:18" x14ac:dyDescent="0.25">
      <c r="B33" s="18"/>
      <c r="C33" s="18" t="s">
        <v>93</v>
      </c>
      <c r="D33" s="35">
        <f>+PRODUCTO!J81</f>
        <v>375000</v>
      </c>
      <c r="E33" s="35">
        <f>+PRODUCTO!J82</f>
        <v>101209</v>
      </c>
      <c r="F33" s="35">
        <f>+PRODUCTO!J83</f>
        <v>0</v>
      </c>
      <c r="G33" s="35">
        <f>+PRODUCTO!J84</f>
        <v>49875</v>
      </c>
      <c r="H33" s="35">
        <f>+PRODUCTO!J85</f>
        <v>333125</v>
      </c>
      <c r="I33" s="35">
        <f>+PRODUCTO!J86</f>
        <v>143501</v>
      </c>
      <c r="J33" s="35">
        <f>+PRODUCTO!J87</f>
        <v>66500</v>
      </c>
      <c r="K33" s="35">
        <f>+PRODUCTO!J88</f>
        <v>0</v>
      </c>
      <c r="L33" s="35">
        <f>+PRODUCTO!J89</f>
        <v>77001</v>
      </c>
      <c r="M33" s="35">
        <f>+PRODUCTO!J90</f>
        <v>49875</v>
      </c>
      <c r="N33" s="35">
        <f>+PRODUCTO!J91</f>
        <v>633000</v>
      </c>
      <c r="O33" s="35">
        <f>+PRODUCTO!J92</f>
        <v>0</v>
      </c>
      <c r="P33" s="110">
        <f>+SUM(D33:O33)</f>
        <v>1829086</v>
      </c>
      <c r="Q33" s="35"/>
      <c r="R33" s="47"/>
    </row>
    <row r="34" spans="2:18" x14ac:dyDescent="0.25">
      <c r="B34" s="18"/>
      <c r="C34" s="1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110"/>
      <c r="Q34" s="35"/>
      <c r="R34" s="47"/>
    </row>
    <row r="35" spans="2:18" x14ac:dyDescent="0.25">
      <c r="B35" s="18"/>
      <c r="C35" s="18" t="s">
        <v>91</v>
      </c>
      <c r="D35" s="35">
        <f>+PRODUCTO!G115</f>
        <v>105000</v>
      </c>
      <c r="E35" s="35">
        <f>+PRODUCTO!G116</f>
        <v>210000</v>
      </c>
      <c r="F35" s="35">
        <f>+PRODUCTO!G117</f>
        <v>560000</v>
      </c>
      <c r="G35" s="35">
        <f>+PRODUCTO!G118</f>
        <v>105000</v>
      </c>
      <c r="H35" s="35">
        <f>+PRODUCTO!G119</f>
        <v>332500</v>
      </c>
      <c r="I35" s="35">
        <f>+PRODUCTO!G120</f>
        <v>280000</v>
      </c>
      <c r="J35" s="35">
        <f>+PRODUCTO!G121</f>
        <v>350000</v>
      </c>
      <c r="K35" s="35">
        <f>+PRODUCTO!G122</f>
        <v>455000</v>
      </c>
      <c r="L35" s="35">
        <f>+PRODUCTO!G123</f>
        <v>770000</v>
      </c>
      <c r="M35" s="35">
        <f>+PRODUCTO!G124</f>
        <v>840000</v>
      </c>
      <c r="N35" s="35">
        <f>+PRODUCTO!G125</f>
        <v>1085000</v>
      </c>
      <c r="O35" s="35">
        <f>+PRODUCTO!G126</f>
        <v>840000</v>
      </c>
      <c r="P35" s="110">
        <f t="shared" ref="P35:P36" si="2">+SUM(D35:O35)</f>
        <v>5932500</v>
      </c>
      <c r="Q35" s="35"/>
      <c r="R35" s="47"/>
    </row>
    <row r="36" spans="2:18" ht="15.75" thickBot="1" x14ac:dyDescent="0.3">
      <c r="B36" s="18"/>
      <c r="C36" s="107" t="s">
        <v>92</v>
      </c>
      <c r="D36" s="108">
        <f>+PRODUCTO!E135</f>
        <v>2145100</v>
      </c>
      <c r="E36" s="108">
        <f>+PRODUCTO!E136</f>
        <v>0</v>
      </c>
      <c r="F36" s="108">
        <f>+PRODUCTO!E137</f>
        <v>322250</v>
      </c>
      <c r="G36" s="108">
        <f>+PRODUCTO!E138</f>
        <v>36000</v>
      </c>
      <c r="H36" s="108">
        <f>+PRODUCTO!E139</f>
        <v>15000</v>
      </c>
      <c r="I36" s="108">
        <f>+PRODUCTO!E140</f>
        <v>38000</v>
      </c>
      <c r="J36" s="108">
        <f>+PRODUCTO!E141</f>
        <v>0</v>
      </c>
      <c r="K36" s="108">
        <f>+PRODUCTO!E142</f>
        <v>60000</v>
      </c>
      <c r="L36" s="108">
        <f>+PRODUCTO!E143</f>
        <v>8000</v>
      </c>
      <c r="M36" s="108">
        <f>+PRODUCTO!E144</f>
        <v>23000</v>
      </c>
      <c r="N36" s="108">
        <f>+PRODUCTO!E145</f>
        <v>0</v>
      </c>
      <c r="O36" s="108">
        <f>+PRODUCTO!E146</f>
        <v>0</v>
      </c>
      <c r="P36" s="116">
        <f t="shared" si="2"/>
        <v>2647350</v>
      </c>
      <c r="Q36" s="35"/>
      <c r="R36" s="47"/>
    </row>
    <row r="37" spans="2:18" ht="15.75" thickTop="1" x14ac:dyDescent="0.25">
      <c r="B37" s="18"/>
      <c r="C37" s="8" t="s">
        <v>95</v>
      </c>
      <c r="D37" s="57">
        <f>+D33+D35+D36</f>
        <v>2625100</v>
      </c>
      <c r="E37" s="57">
        <f t="shared" ref="E37:O37" si="3">+E33+E35+E36</f>
        <v>311209</v>
      </c>
      <c r="F37" s="57">
        <f t="shared" si="3"/>
        <v>882250</v>
      </c>
      <c r="G37" s="57">
        <f t="shared" si="3"/>
        <v>190875</v>
      </c>
      <c r="H37" s="57">
        <f t="shared" si="3"/>
        <v>680625</v>
      </c>
      <c r="I37" s="57">
        <f t="shared" si="3"/>
        <v>461501</v>
      </c>
      <c r="J37" s="57">
        <f t="shared" si="3"/>
        <v>416500</v>
      </c>
      <c r="K37" s="57">
        <f t="shared" si="3"/>
        <v>515000</v>
      </c>
      <c r="L37" s="57">
        <f t="shared" si="3"/>
        <v>855001</v>
      </c>
      <c r="M37" s="57">
        <f t="shared" si="3"/>
        <v>912875</v>
      </c>
      <c r="N37" s="57">
        <f t="shared" si="3"/>
        <v>1718000</v>
      </c>
      <c r="O37" s="57">
        <f t="shared" si="3"/>
        <v>840000</v>
      </c>
      <c r="P37" s="110">
        <f>+SUM(D37:O37)</f>
        <v>10408936</v>
      </c>
      <c r="Q37" s="35"/>
      <c r="R37" s="47"/>
    </row>
    <row r="38" spans="2:18" ht="15.75" thickBot="1" x14ac:dyDescent="0.3">
      <c r="B38" s="18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16"/>
      <c r="Q38" s="35"/>
      <c r="R38" s="47"/>
    </row>
    <row r="39" spans="2:18" ht="15.75" thickTop="1" x14ac:dyDescent="0.25">
      <c r="B39" s="18"/>
      <c r="C39" s="8" t="s">
        <v>96</v>
      </c>
      <c r="D39" s="57">
        <f>+D31-D37</f>
        <v>-2625100</v>
      </c>
      <c r="E39" s="57">
        <f>+E31-E37</f>
        <v>-311209</v>
      </c>
      <c r="F39" s="57">
        <f t="shared" ref="F39:O39" si="4">+F31-F37</f>
        <v>-882250</v>
      </c>
      <c r="G39" s="57">
        <f t="shared" si="4"/>
        <v>-190875</v>
      </c>
      <c r="H39" s="57">
        <f t="shared" si="4"/>
        <v>-401745</v>
      </c>
      <c r="I39" s="57">
        <f t="shared" si="4"/>
        <v>-461501</v>
      </c>
      <c r="J39" s="57">
        <f t="shared" si="4"/>
        <v>472430</v>
      </c>
      <c r="K39" s="57">
        <f t="shared" si="4"/>
        <v>1698610</v>
      </c>
      <c r="L39" s="57">
        <f t="shared" si="4"/>
        <v>1916369</v>
      </c>
      <c r="M39" s="57">
        <f t="shared" si="4"/>
        <v>2398825</v>
      </c>
      <c r="N39" s="57">
        <f t="shared" si="4"/>
        <v>1942300</v>
      </c>
      <c r="O39" s="57">
        <f t="shared" si="4"/>
        <v>2523990</v>
      </c>
      <c r="P39" s="110">
        <f>+SUM(D39:O39)</f>
        <v>6079844</v>
      </c>
      <c r="Q39" s="35"/>
      <c r="R39" s="47"/>
    </row>
    <row r="40" spans="2:18" x14ac:dyDescent="0.25">
      <c r="B40" s="18"/>
      <c r="C40" s="1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10"/>
      <c r="Q40" s="35"/>
      <c r="R40" s="47"/>
    </row>
    <row r="41" spans="2:18" x14ac:dyDescent="0.25">
      <c r="B41" s="18"/>
      <c r="C41" s="18" t="s">
        <v>97</v>
      </c>
      <c r="D41" s="35">
        <f>+'INVERSIONES '!G19</f>
        <v>3847000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10">
        <f t="shared" ref="P41:P43" si="5">+SUM(D41:O41)</f>
        <v>3847000</v>
      </c>
      <c r="Q41" s="35"/>
      <c r="R41" s="47"/>
    </row>
    <row r="42" spans="2:18" x14ac:dyDescent="0.25">
      <c r="B42" s="18"/>
      <c r="C42" s="18" t="s">
        <v>98</v>
      </c>
      <c r="D42" s="35">
        <f>+'INVERSIONES '!D23</f>
        <v>7331844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10">
        <f t="shared" si="5"/>
        <v>7331844</v>
      </c>
      <c r="Q42" s="35"/>
      <c r="R42" s="47"/>
    </row>
    <row r="43" spans="2:18" ht="15.75" thickBot="1" x14ac:dyDescent="0.3">
      <c r="B43" s="18"/>
      <c r="C43" s="107" t="s">
        <v>99</v>
      </c>
      <c r="D43" s="108">
        <f>+-'INVERSIONES '!F29</f>
        <v>-647747.18110423966</v>
      </c>
      <c r="E43" s="108">
        <f>+-'INVERSIONES '!F30</f>
        <v>-647747.18110423966</v>
      </c>
      <c r="F43" s="108">
        <f>+-'INVERSIONES '!F31</f>
        <v>-647747.18110423966</v>
      </c>
      <c r="G43" s="108">
        <f>+-'INVERSIONES '!F32</f>
        <v>-647747.18110423966</v>
      </c>
      <c r="H43" s="108">
        <f>+-'INVERSIONES '!F33</f>
        <v>-647747.18110423966</v>
      </c>
      <c r="I43" s="108">
        <f>+-'INVERSIONES '!F34</f>
        <v>-647747.18110423966</v>
      </c>
      <c r="J43" s="108">
        <f>+-'INVERSIONES '!F35</f>
        <v>-647747.18110423966</v>
      </c>
      <c r="K43" s="108">
        <f>+-'INVERSIONES '!F36</f>
        <v>-647747.18110423966</v>
      </c>
      <c r="L43" s="108">
        <f>+-'INVERSIONES '!F37</f>
        <v>-647747.18110423966</v>
      </c>
      <c r="M43" s="108">
        <f>+-'INVERSIONES '!F38</f>
        <v>-647747.18110423966</v>
      </c>
      <c r="N43" s="108">
        <f>+-'INVERSIONES '!F39</f>
        <v>-647747.18110423966</v>
      </c>
      <c r="O43" s="108">
        <f>+-'INVERSIONES '!F40</f>
        <v>-647747.18110423966</v>
      </c>
      <c r="P43" s="116">
        <f t="shared" si="5"/>
        <v>-7772966.1732508773</v>
      </c>
      <c r="Q43" s="35"/>
      <c r="R43" s="47"/>
    </row>
    <row r="44" spans="2:18" ht="15.75" thickTop="1" x14ac:dyDescent="0.25">
      <c r="B44" s="18"/>
      <c r="C44" s="8" t="s">
        <v>100</v>
      </c>
      <c r="D44" s="57">
        <f>+SUM(D42:D43)</f>
        <v>6684096.81889576</v>
      </c>
      <c r="E44" s="57">
        <f>+SUM(E42:E43)</f>
        <v>-647747.18110423966</v>
      </c>
      <c r="F44" s="57">
        <f t="shared" ref="F44:O44" si="6">+SUM(F42:F43)</f>
        <v>-647747.18110423966</v>
      </c>
      <c r="G44" s="57">
        <f t="shared" si="6"/>
        <v>-647747.18110423966</v>
      </c>
      <c r="H44" s="57">
        <f t="shared" si="6"/>
        <v>-647747.18110423966</v>
      </c>
      <c r="I44" s="57">
        <f t="shared" si="6"/>
        <v>-647747.18110423966</v>
      </c>
      <c r="J44" s="57">
        <f t="shared" si="6"/>
        <v>-647747.18110423966</v>
      </c>
      <c r="K44" s="57">
        <f t="shared" si="6"/>
        <v>-647747.18110423966</v>
      </c>
      <c r="L44" s="57">
        <f t="shared" si="6"/>
        <v>-647747.18110423966</v>
      </c>
      <c r="M44" s="57">
        <f t="shared" si="6"/>
        <v>-647747.18110423966</v>
      </c>
      <c r="N44" s="57">
        <f t="shared" si="6"/>
        <v>-647747.18110423966</v>
      </c>
      <c r="O44" s="57">
        <f t="shared" si="6"/>
        <v>-647747.18110423966</v>
      </c>
      <c r="P44" s="110">
        <f>+SUM(D44:O44)</f>
        <v>-441122.17325087672</v>
      </c>
      <c r="Q44" s="35"/>
      <c r="R44" s="47"/>
    </row>
    <row r="45" spans="2:18" x14ac:dyDescent="0.25">
      <c r="B45" s="18"/>
      <c r="C45" s="1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10"/>
      <c r="Q45" s="35"/>
      <c r="R45" s="47"/>
    </row>
    <row r="46" spans="2:18" x14ac:dyDescent="0.25">
      <c r="B46" s="18"/>
      <c r="C46" s="18" t="s">
        <v>101</v>
      </c>
      <c r="D46" s="35">
        <f>+D39-D41+D44</f>
        <v>211996.81889575999</v>
      </c>
      <c r="E46" s="35">
        <f>+E39-E41+E44</f>
        <v>-958956.18110423966</v>
      </c>
      <c r="F46" s="35">
        <f t="shared" ref="F46:O46" si="7">+F39-F41+F44</f>
        <v>-1529997.1811042395</v>
      </c>
      <c r="G46" s="35">
        <f t="shared" si="7"/>
        <v>-838622.18110423966</v>
      </c>
      <c r="H46" s="35">
        <f t="shared" si="7"/>
        <v>-1049492.1811042395</v>
      </c>
      <c r="I46" s="35">
        <f t="shared" si="7"/>
        <v>-1109248.1811042395</v>
      </c>
      <c r="J46" s="35">
        <f t="shared" si="7"/>
        <v>-175317.18110423966</v>
      </c>
      <c r="K46" s="35">
        <f t="shared" si="7"/>
        <v>1050862.8188957605</v>
      </c>
      <c r="L46" s="35">
        <f>+L39-L41+L44</f>
        <v>1268621.8188957605</v>
      </c>
      <c r="M46" s="35">
        <f t="shared" si="7"/>
        <v>1751077.8188957605</v>
      </c>
      <c r="N46" s="35">
        <f t="shared" si="7"/>
        <v>1294552.8188957605</v>
      </c>
      <c r="O46" s="35">
        <f t="shared" si="7"/>
        <v>1876242.8188957605</v>
      </c>
      <c r="P46" s="110">
        <f>+SUM(D46:O46)</f>
        <v>1791721.8267491236</v>
      </c>
      <c r="Q46" s="35"/>
      <c r="R46" s="47"/>
    </row>
    <row r="47" spans="2:18" x14ac:dyDescent="0.25">
      <c r="B47" s="18"/>
      <c r="C47" s="1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10"/>
      <c r="Q47" s="35"/>
      <c r="R47" s="47"/>
    </row>
    <row r="48" spans="2:18" x14ac:dyDescent="0.25">
      <c r="B48" s="18"/>
      <c r="C48" s="18" t="s">
        <v>103</v>
      </c>
      <c r="D48" s="35">
        <f>+'INVERSIONES '!F5</f>
        <v>7331844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10">
        <f>+SUM(D48:O48)</f>
        <v>7331844</v>
      </c>
      <c r="Q48" s="35"/>
      <c r="R48" s="47"/>
    </row>
    <row r="49" spans="2:18" ht="15.75" thickBot="1" x14ac:dyDescent="0.3">
      <c r="B49" s="18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16"/>
      <c r="Q49" s="35"/>
      <c r="R49" s="47"/>
    </row>
    <row r="50" spans="2:18" ht="15.75" thickTop="1" x14ac:dyDescent="0.25">
      <c r="B50" s="18"/>
      <c r="C50" s="9" t="s">
        <v>102</v>
      </c>
      <c r="D50" s="53">
        <f>+D48+D46</f>
        <v>7543840.81889576</v>
      </c>
      <c r="E50" s="53">
        <f t="shared" ref="E50:O50" si="8">+D50+E46</f>
        <v>6584884.63779152</v>
      </c>
      <c r="F50" s="53">
        <f t="shared" si="8"/>
        <v>5054887.4566872809</v>
      </c>
      <c r="G50" s="53">
        <f t="shared" si="8"/>
        <v>4216265.2755830409</v>
      </c>
      <c r="H50" s="53">
        <f t="shared" si="8"/>
        <v>3166773.0944788014</v>
      </c>
      <c r="I50" s="53">
        <f t="shared" si="8"/>
        <v>2057524.9133745618</v>
      </c>
      <c r="J50" s="53">
        <f t="shared" si="8"/>
        <v>1882207.7322703223</v>
      </c>
      <c r="K50" s="53">
        <f t="shared" si="8"/>
        <v>2933070.5511660827</v>
      </c>
      <c r="L50" s="53">
        <f t="shared" si="8"/>
        <v>4201692.3700618427</v>
      </c>
      <c r="M50" s="53">
        <f t="shared" si="8"/>
        <v>5952770.1889576036</v>
      </c>
      <c r="N50" s="53">
        <f t="shared" si="8"/>
        <v>7247323.0078533646</v>
      </c>
      <c r="O50" s="53">
        <f t="shared" si="8"/>
        <v>9123565.8267491255</v>
      </c>
      <c r="P50" s="117"/>
      <c r="Q50" s="35"/>
      <c r="R50" s="47"/>
    </row>
    <row r="51" spans="2:18" x14ac:dyDescent="0.25">
      <c r="B51" s="18"/>
      <c r="C51" s="2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21"/>
      <c r="R51" s="22"/>
    </row>
    <row r="52" spans="2:18" x14ac:dyDescent="0.25">
      <c r="B52" s="18"/>
      <c r="C52" s="2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1"/>
      <c r="R52" s="22"/>
    </row>
    <row r="53" spans="2:18" x14ac:dyDescent="0.25">
      <c r="B53" s="18"/>
      <c r="C53" s="230" t="s">
        <v>18</v>
      </c>
      <c r="D53" s="231"/>
      <c r="E53" s="231"/>
      <c r="F53" s="231"/>
      <c r="G53" s="231"/>
      <c r="H53" s="231"/>
      <c r="I53" s="231"/>
      <c r="J53" s="232"/>
      <c r="K53" s="21"/>
      <c r="L53" s="21"/>
      <c r="M53" s="21"/>
      <c r="N53" s="21"/>
      <c r="O53" s="21"/>
      <c r="P53" s="21"/>
      <c r="Q53" s="21"/>
      <c r="R53" s="22"/>
    </row>
    <row r="54" spans="2:18" x14ac:dyDescent="0.25">
      <c r="B54" s="18"/>
      <c r="C54" s="113" t="s">
        <v>90</v>
      </c>
      <c r="D54" s="114"/>
      <c r="E54" s="114" t="s">
        <v>34</v>
      </c>
      <c r="F54" s="114" t="s">
        <v>21</v>
      </c>
      <c r="G54" s="114" t="s">
        <v>22</v>
      </c>
      <c r="H54" s="114" t="s">
        <v>23</v>
      </c>
      <c r="I54" s="114" t="s">
        <v>24</v>
      </c>
      <c r="J54" s="115" t="s">
        <v>16</v>
      </c>
      <c r="K54" s="21"/>
      <c r="L54" s="21"/>
      <c r="M54" s="21"/>
      <c r="N54" s="21"/>
      <c r="O54" s="21"/>
      <c r="P54" s="21"/>
      <c r="Q54" s="21"/>
      <c r="R54" s="22"/>
    </row>
    <row r="55" spans="2:18" x14ac:dyDescent="0.25">
      <c r="B55" s="18"/>
      <c r="C55" s="55" t="s">
        <v>94</v>
      </c>
      <c r="D55" s="56"/>
      <c r="E55" s="56"/>
      <c r="F55" s="56"/>
      <c r="G55" s="56"/>
      <c r="H55" s="56"/>
      <c r="I55" s="56"/>
      <c r="J55" s="105"/>
      <c r="K55" s="21"/>
      <c r="L55" s="21"/>
      <c r="M55" s="21"/>
      <c r="N55" s="21"/>
      <c r="O55" s="21"/>
      <c r="P55" s="21"/>
      <c r="Q55" s="21"/>
      <c r="R55" s="22"/>
    </row>
    <row r="56" spans="2:18" x14ac:dyDescent="0.25">
      <c r="B56" s="18"/>
      <c r="C56" s="18" t="s">
        <v>69</v>
      </c>
      <c r="D56" s="21"/>
      <c r="E56" s="35">
        <f>+PRODUCTO!J194</f>
        <v>3294270</v>
      </c>
      <c r="F56" s="35">
        <f>+PRODUCTO!J195</f>
        <v>2945670</v>
      </c>
      <c r="G56" s="35">
        <f>+PRODUCTO!J196</f>
        <v>2928240</v>
      </c>
      <c r="H56" s="35">
        <f>+PRODUCTO!J197</f>
        <v>2300760</v>
      </c>
      <c r="I56" s="35">
        <f>+PRODUCTO!J198</f>
        <v>1917300</v>
      </c>
      <c r="J56" s="110">
        <f>+SUM(E56:I56)</f>
        <v>13386240</v>
      </c>
      <c r="K56" s="21"/>
      <c r="L56" s="21"/>
      <c r="M56" s="21"/>
      <c r="N56" s="21"/>
      <c r="O56" s="21"/>
      <c r="P56" s="21"/>
      <c r="Q56" s="21"/>
      <c r="R56" s="22"/>
    </row>
    <row r="57" spans="2:18" x14ac:dyDescent="0.25">
      <c r="B57" s="18"/>
      <c r="C57" s="55" t="s">
        <v>39</v>
      </c>
      <c r="D57" s="56"/>
      <c r="E57" s="35"/>
      <c r="F57" s="35"/>
      <c r="G57" s="35"/>
      <c r="H57" s="35"/>
      <c r="I57" s="35"/>
      <c r="J57" s="110"/>
      <c r="K57" s="21"/>
      <c r="L57" s="21"/>
      <c r="M57" s="21"/>
      <c r="N57" s="21"/>
      <c r="O57" s="21"/>
      <c r="P57" s="21"/>
      <c r="Q57" s="21"/>
      <c r="R57" s="22"/>
    </row>
    <row r="58" spans="2:18" x14ac:dyDescent="0.25">
      <c r="B58" s="18"/>
      <c r="C58" s="18" t="s">
        <v>93</v>
      </c>
      <c r="D58" s="21"/>
      <c r="E58" s="35">
        <f>+PRODUCTO!J101</f>
        <v>154002</v>
      </c>
      <c r="F58" s="35">
        <f>+PRODUCTO!J102</f>
        <v>99750</v>
      </c>
      <c r="G58" s="35">
        <f>+PRODUCTO!J103</f>
        <v>0</v>
      </c>
      <c r="H58" s="35">
        <f>+PRODUCTO!J104</f>
        <v>0</v>
      </c>
      <c r="I58" s="35">
        <f>+PRODUCTO!J105</f>
        <v>0</v>
      </c>
      <c r="J58" s="110">
        <f>+SUM(E58:I58)</f>
        <v>253752</v>
      </c>
      <c r="K58" s="21"/>
      <c r="L58" s="21"/>
      <c r="M58" s="21"/>
      <c r="N58" s="21"/>
      <c r="O58" s="21"/>
      <c r="P58" s="21"/>
      <c r="Q58" s="21"/>
      <c r="R58" s="22"/>
    </row>
    <row r="59" spans="2:18" x14ac:dyDescent="0.25">
      <c r="B59" s="18"/>
      <c r="C59" s="18"/>
      <c r="D59" s="21"/>
      <c r="E59" s="35"/>
      <c r="F59" s="35"/>
      <c r="G59" s="35"/>
      <c r="H59" s="35"/>
      <c r="I59" s="35"/>
      <c r="J59" s="110"/>
      <c r="K59" s="21"/>
      <c r="L59" s="21"/>
      <c r="M59" s="21"/>
      <c r="N59" s="21"/>
      <c r="O59" s="21"/>
      <c r="P59" s="21"/>
      <c r="Q59" s="21"/>
      <c r="R59" s="22"/>
    </row>
    <row r="60" spans="2:18" x14ac:dyDescent="0.25">
      <c r="B60" s="18"/>
      <c r="C60" s="18" t="s">
        <v>91</v>
      </c>
      <c r="D60" s="21"/>
      <c r="E60" s="35">
        <f>+PRODUCTO!L115</f>
        <v>980000</v>
      </c>
      <c r="F60" s="35">
        <f>+PRODUCTO!L116</f>
        <v>875000</v>
      </c>
      <c r="G60" s="35">
        <f>+PRODUCTO!L117</f>
        <v>700000</v>
      </c>
      <c r="H60" s="35">
        <f>+PRODUCTO!L118</f>
        <v>700000</v>
      </c>
      <c r="I60" s="35">
        <f>+PRODUCTO!L119</f>
        <v>700000</v>
      </c>
      <c r="J60" s="110">
        <f>+SUM(E60:I60)</f>
        <v>3955000</v>
      </c>
      <c r="K60" s="21"/>
      <c r="L60" s="37"/>
      <c r="M60" s="21"/>
      <c r="N60" s="21"/>
      <c r="O60" s="21"/>
      <c r="P60" s="21"/>
      <c r="Q60" s="21"/>
      <c r="R60" s="22"/>
    </row>
    <row r="61" spans="2:18" ht="15.75" thickBot="1" x14ac:dyDescent="0.3">
      <c r="B61" s="18"/>
      <c r="C61" s="107" t="s">
        <v>92</v>
      </c>
      <c r="D61" s="118"/>
      <c r="E61" s="108">
        <f>+PRODUCTO!J135</f>
        <v>23000</v>
      </c>
      <c r="F61" s="108">
        <f>+PRODUCTO!J136</f>
        <v>0</v>
      </c>
      <c r="G61" s="108">
        <f>+PRODUCTO!J137</f>
        <v>0</v>
      </c>
      <c r="H61" s="108">
        <f>+PRODUCTO!J138</f>
        <v>23000</v>
      </c>
      <c r="I61" s="108">
        <f>+PRODUCTO!J139</f>
        <v>0</v>
      </c>
      <c r="J61" s="116">
        <f>+SUM(E61:I61)</f>
        <v>46000</v>
      </c>
      <c r="K61" s="21"/>
      <c r="L61" s="37"/>
      <c r="M61" s="21"/>
      <c r="N61" s="21"/>
      <c r="O61" s="21"/>
      <c r="P61" s="21"/>
      <c r="Q61" s="21"/>
      <c r="R61" s="22"/>
    </row>
    <row r="62" spans="2:18" ht="15.75" thickTop="1" x14ac:dyDescent="0.25">
      <c r="B62" s="18"/>
      <c r="C62" s="8" t="s">
        <v>95</v>
      </c>
      <c r="D62" s="14"/>
      <c r="E62" s="57">
        <f>+E58+E60+E61</f>
        <v>1157002</v>
      </c>
      <c r="F62" s="57">
        <f t="shared" ref="F62:I62" si="9">+F58+F60+F61</f>
        <v>974750</v>
      </c>
      <c r="G62" s="57">
        <f t="shared" si="9"/>
        <v>700000</v>
      </c>
      <c r="H62" s="57">
        <f t="shared" si="9"/>
        <v>723000</v>
      </c>
      <c r="I62" s="57">
        <f t="shared" si="9"/>
        <v>700000</v>
      </c>
      <c r="J62" s="110">
        <f>+SUM(E62:I62)</f>
        <v>4254752</v>
      </c>
      <c r="K62" s="21"/>
      <c r="L62" s="21"/>
      <c r="M62" s="21"/>
      <c r="N62" s="21"/>
      <c r="O62" s="21"/>
      <c r="P62" s="21"/>
      <c r="Q62" s="21"/>
      <c r="R62" s="22"/>
    </row>
    <row r="63" spans="2:18" ht="15.75" thickBot="1" x14ac:dyDescent="0.3">
      <c r="B63" s="18"/>
      <c r="C63" s="107"/>
      <c r="D63" s="118"/>
      <c r="E63" s="108"/>
      <c r="F63" s="108"/>
      <c r="G63" s="108"/>
      <c r="H63" s="108"/>
      <c r="I63" s="108"/>
      <c r="J63" s="116"/>
      <c r="K63" s="21"/>
      <c r="L63" s="21"/>
      <c r="M63" s="21"/>
      <c r="N63" s="21"/>
      <c r="O63" s="21"/>
      <c r="P63" s="21"/>
      <c r="Q63" s="21"/>
      <c r="R63" s="22"/>
    </row>
    <row r="64" spans="2:18" ht="15.75" thickTop="1" x14ac:dyDescent="0.25">
      <c r="B64" s="18"/>
      <c r="C64" s="8" t="s">
        <v>96</v>
      </c>
      <c r="D64" s="14"/>
      <c r="E64" s="57">
        <f>+E56-E62</f>
        <v>2137268</v>
      </c>
      <c r="F64" s="57">
        <f t="shared" ref="F64:I64" si="10">+F56-F62</f>
        <v>1970920</v>
      </c>
      <c r="G64" s="57">
        <f t="shared" si="10"/>
        <v>2228240</v>
      </c>
      <c r="H64" s="57">
        <f t="shared" si="10"/>
        <v>1577760</v>
      </c>
      <c r="I64" s="57">
        <f t="shared" si="10"/>
        <v>1217300</v>
      </c>
      <c r="J64" s="110">
        <f>+SUM(E64:I64)</f>
        <v>9131488</v>
      </c>
      <c r="K64" s="21"/>
      <c r="L64" s="21"/>
      <c r="M64" s="21"/>
      <c r="N64" s="21"/>
      <c r="O64" s="21"/>
      <c r="P64" s="21"/>
      <c r="Q64" s="21"/>
      <c r="R64" s="22"/>
    </row>
    <row r="65" spans="2:18" x14ac:dyDescent="0.25">
      <c r="B65" s="18"/>
      <c r="C65" s="18"/>
      <c r="D65" s="21"/>
      <c r="E65" s="35"/>
      <c r="F65" s="35"/>
      <c r="G65" s="35"/>
      <c r="H65" s="35"/>
      <c r="I65" s="35"/>
      <c r="J65" s="110"/>
      <c r="K65" s="21"/>
      <c r="L65" s="21"/>
      <c r="M65" s="21"/>
      <c r="N65" s="21"/>
      <c r="O65" s="21"/>
      <c r="P65" s="21"/>
      <c r="Q65" s="21"/>
      <c r="R65" s="22"/>
    </row>
    <row r="66" spans="2:18" x14ac:dyDescent="0.25">
      <c r="B66" s="18"/>
      <c r="C66" s="18" t="s">
        <v>97</v>
      </c>
      <c r="D66" s="21"/>
      <c r="E66" s="35">
        <v>0</v>
      </c>
      <c r="F66" s="35"/>
      <c r="G66" s="35"/>
      <c r="H66" s="35"/>
      <c r="I66" s="35"/>
      <c r="J66" s="110">
        <f>+SUM(E66:I66)</f>
        <v>0</v>
      </c>
      <c r="K66" s="21"/>
      <c r="L66" s="21"/>
      <c r="M66" s="21"/>
      <c r="N66" s="21"/>
      <c r="O66" s="21"/>
      <c r="P66" s="21"/>
      <c r="Q66" s="21"/>
      <c r="R66" s="22"/>
    </row>
    <row r="67" spans="2:18" x14ac:dyDescent="0.25">
      <c r="B67" s="18"/>
      <c r="C67" s="18" t="s">
        <v>98</v>
      </c>
      <c r="D67" s="35">
        <f>+'INVERSIONES '!L40</f>
        <v>0</v>
      </c>
      <c r="E67" s="21"/>
      <c r="F67" s="35"/>
      <c r="G67" s="35"/>
      <c r="H67" s="35"/>
      <c r="I67" s="35"/>
      <c r="J67" s="110">
        <f>+SUM(D67:I67)</f>
        <v>0</v>
      </c>
      <c r="K67" s="21"/>
      <c r="L67" s="21"/>
      <c r="M67" s="21"/>
      <c r="N67" s="21"/>
      <c r="O67" s="21"/>
      <c r="P67" s="21"/>
      <c r="Q67" s="21"/>
      <c r="R67" s="22"/>
    </row>
    <row r="68" spans="2:18" ht="15.75" thickBot="1" x14ac:dyDescent="0.3">
      <c r="B68" s="18"/>
      <c r="C68" s="107" t="s">
        <v>99</v>
      </c>
      <c r="D68" s="118"/>
      <c r="E68" s="108">
        <f>+-'INVERSIONES '!F41</f>
        <v>0</v>
      </c>
      <c r="F68" s="108">
        <f>+-'INVERSIONES '!F42</f>
        <v>0</v>
      </c>
      <c r="G68" s="108">
        <f>+-'INVERSIONES '!F43</f>
        <v>0</v>
      </c>
      <c r="H68" s="108">
        <f>+-'INVERSIONES '!F44</f>
        <v>0</v>
      </c>
      <c r="I68" s="108">
        <f>+-'INVERSIONES '!F45</f>
        <v>0</v>
      </c>
      <c r="J68" s="116">
        <f>+SUM(E68:I68)</f>
        <v>0</v>
      </c>
      <c r="K68" s="21"/>
      <c r="L68" s="21"/>
      <c r="M68" s="21"/>
      <c r="N68" s="21"/>
      <c r="O68" s="21"/>
      <c r="P68" s="21"/>
      <c r="Q68" s="21"/>
      <c r="R68" s="22"/>
    </row>
    <row r="69" spans="2:18" ht="15.75" thickTop="1" x14ac:dyDescent="0.25">
      <c r="B69" s="18"/>
      <c r="C69" s="8" t="s">
        <v>100</v>
      </c>
      <c r="D69" s="14"/>
      <c r="E69" s="57">
        <f>+SUM(E67:E68)</f>
        <v>0</v>
      </c>
      <c r="F69" s="57">
        <f t="shared" ref="F69:I69" si="11">+SUM(F67:F68)</f>
        <v>0</v>
      </c>
      <c r="G69" s="57">
        <f t="shared" si="11"/>
        <v>0</v>
      </c>
      <c r="H69" s="57">
        <f t="shared" si="11"/>
        <v>0</v>
      </c>
      <c r="I69" s="57">
        <f t="shared" si="11"/>
        <v>0</v>
      </c>
      <c r="J69" s="110">
        <f>+SUM(E69:I69)</f>
        <v>0</v>
      </c>
      <c r="K69" s="21"/>
      <c r="L69" s="21"/>
      <c r="M69" s="21"/>
      <c r="N69" s="21"/>
      <c r="O69" s="21"/>
      <c r="P69" s="21"/>
      <c r="Q69" s="21"/>
      <c r="R69" s="22"/>
    </row>
    <row r="70" spans="2:18" x14ac:dyDescent="0.25">
      <c r="B70" s="18"/>
      <c r="C70" s="18"/>
      <c r="D70" s="21"/>
      <c r="E70" s="35"/>
      <c r="F70" s="35"/>
      <c r="G70" s="35"/>
      <c r="H70" s="35"/>
      <c r="I70" s="35"/>
      <c r="J70" s="110"/>
      <c r="K70" s="21"/>
      <c r="L70" s="21"/>
      <c r="M70" s="21"/>
      <c r="N70" s="21"/>
      <c r="O70" s="21"/>
      <c r="P70" s="21"/>
      <c r="Q70" s="21"/>
      <c r="R70" s="22"/>
    </row>
    <row r="71" spans="2:18" x14ac:dyDescent="0.25">
      <c r="B71" s="18"/>
      <c r="C71" s="18" t="s">
        <v>101</v>
      </c>
      <c r="D71" s="21"/>
      <c r="E71" s="35">
        <f>+E64-E66+E69</f>
        <v>2137268</v>
      </c>
      <c r="F71" s="35">
        <f t="shared" ref="F71:I71" si="12">+F64-F66+F69</f>
        <v>1970920</v>
      </c>
      <c r="G71" s="35">
        <f t="shared" si="12"/>
        <v>2228240</v>
      </c>
      <c r="H71" s="35">
        <f t="shared" si="12"/>
        <v>1577760</v>
      </c>
      <c r="I71" s="35">
        <f t="shared" si="12"/>
        <v>1217300</v>
      </c>
      <c r="J71" s="110">
        <f>+SUM(E71:I71)</f>
        <v>9131488</v>
      </c>
      <c r="K71" s="21"/>
      <c r="L71" s="21"/>
      <c r="M71" s="21"/>
      <c r="N71" s="21"/>
      <c r="O71" s="21"/>
      <c r="P71" s="21"/>
      <c r="Q71" s="21"/>
      <c r="R71" s="22"/>
    </row>
    <row r="72" spans="2:18" x14ac:dyDescent="0.25">
      <c r="B72" s="18"/>
      <c r="C72" s="18"/>
      <c r="D72" s="21"/>
      <c r="E72" s="35"/>
      <c r="F72" s="35"/>
      <c r="G72" s="35"/>
      <c r="H72" s="35"/>
      <c r="I72" s="35"/>
      <c r="J72" s="110"/>
      <c r="K72" s="21"/>
      <c r="L72" s="21"/>
      <c r="M72" s="21"/>
      <c r="N72" s="21"/>
      <c r="O72" s="21"/>
      <c r="P72" s="21"/>
      <c r="Q72" s="21"/>
      <c r="R72" s="22"/>
    </row>
    <row r="73" spans="2:18" x14ac:dyDescent="0.25">
      <c r="B73" s="18"/>
      <c r="C73" s="18" t="s">
        <v>103</v>
      </c>
      <c r="D73" s="21"/>
      <c r="E73" s="35">
        <v>0</v>
      </c>
      <c r="F73" s="35"/>
      <c r="G73" s="35"/>
      <c r="H73" s="35"/>
      <c r="I73" s="35"/>
      <c r="J73" s="110">
        <f>+SUM(E73:I73)</f>
        <v>0</v>
      </c>
      <c r="K73" s="21"/>
      <c r="L73" s="21"/>
      <c r="M73" s="21"/>
      <c r="N73" s="21"/>
      <c r="O73" s="21"/>
      <c r="P73" s="21"/>
      <c r="Q73" s="21"/>
      <c r="R73" s="22"/>
    </row>
    <row r="74" spans="2:18" ht="15.75" thickBot="1" x14ac:dyDescent="0.3">
      <c r="B74" s="18"/>
      <c r="C74" s="107"/>
      <c r="D74" s="118"/>
      <c r="E74" s="108"/>
      <c r="F74" s="108"/>
      <c r="G74" s="108"/>
      <c r="H74" s="108"/>
      <c r="I74" s="108"/>
      <c r="J74" s="116"/>
      <c r="K74" s="21"/>
      <c r="L74" s="21"/>
      <c r="M74" s="21"/>
      <c r="N74" s="21"/>
      <c r="O74" s="21"/>
      <c r="P74" s="21"/>
      <c r="Q74" s="21"/>
      <c r="R74" s="22"/>
    </row>
    <row r="75" spans="2:18" ht="15.75" thickTop="1" x14ac:dyDescent="0.25">
      <c r="B75" s="18"/>
      <c r="C75" s="9" t="s">
        <v>102</v>
      </c>
      <c r="D75" s="54">
        <f>+O50</f>
        <v>9123565.8267491255</v>
      </c>
      <c r="E75" s="53">
        <f>+D75+E71</f>
        <v>11260833.826749125</v>
      </c>
      <c r="F75" s="53">
        <f>+E75+F71</f>
        <v>13231753.826749125</v>
      </c>
      <c r="G75" s="53">
        <f>+F75+G71</f>
        <v>15459993.826749125</v>
      </c>
      <c r="H75" s="53">
        <f>+G75+H71</f>
        <v>17037753.826749124</v>
      </c>
      <c r="I75" s="53">
        <f>+H75+I71</f>
        <v>18255053.826749124</v>
      </c>
      <c r="J75" s="119"/>
      <c r="K75" s="21"/>
      <c r="L75" s="21"/>
      <c r="M75" s="21"/>
      <c r="N75" s="21"/>
      <c r="O75" s="21"/>
      <c r="P75" s="21"/>
      <c r="Q75" s="21"/>
      <c r="R75" s="22"/>
    </row>
    <row r="76" spans="2:18" x14ac:dyDescent="0.25">
      <c r="B76" s="18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2"/>
    </row>
    <row r="77" spans="2:18" x14ac:dyDescent="0.25">
      <c r="B77" s="18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/>
    </row>
    <row r="78" spans="2:18" x14ac:dyDescent="0.25">
      <c r="B78" s="18"/>
      <c r="C78" s="21"/>
      <c r="D78" s="21"/>
      <c r="E78" s="21"/>
      <c r="F78" s="113" t="s">
        <v>102</v>
      </c>
      <c r="G78" s="114" t="s">
        <v>17</v>
      </c>
      <c r="H78" s="115" t="s">
        <v>104</v>
      </c>
      <c r="I78" s="21"/>
      <c r="J78" s="21"/>
      <c r="K78" s="21"/>
      <c r="L78" s="21"/>
      <c r="M78" s="21"/>
      <c r="N78" s="21"/>
      <c r="O78" s="21"/>
      <c r="P78" s="21"/>
      <c r="Q78" s="21"/>
      <c r="R78" s="22"/>
    </row>
    <row r="79" spans="2:18" x14ac:dyDescent="0.25">
      <c r="B79" s="18"/>
      <c r="C79" s="21"/>
      <c r="D79" s="21"/>
      <c r="E79" s="21"/>
      <c r="F79" s="55" t="s">
        <v>94</v>
      </c>
      <c r="G79" s="21"/>
      <c r="H79" s="22"/>
      <c r="I79" s="21"/>
      <c r="J79" s="21"/>
      <c r="K79" s="21"/>
      <c r="L79" s="21"/>
      <c r="M79" s="21"/>
      <c r="N79" s="21"/>
      <c r="O79" s="21"/>
      <c r="P79" s="21"/>
      <c r="Q79" s="21"/>
      <c r="R79" s="22"/>
    </row>
    <row r="80" spans="2:18" x14ac:dyDescent="0.25">
      <c r="B80" s="18"/>
      <c r="C80" s="21"/>
      <c r="D80" s="21"/>
      <c r="E80" s="21"/>
      <c r="F80" s="18" t="s">
        <v>69</v>
      </c>
      <c r="G80" s="35">
        <f>+P31</f>
        <v>16488780</v>
      </c>
      <c r="H80" s="106">
        <f>+J56</f>
        <v>13386240</v>
      </c>
      <c r="I80" s="21"/>
      <c r="J80" s="21"/>
      <c r="K80" s="21"/>
      <c r="L80" s="21"/>
      <c r="M80" s="21"/>
      <c r="N80" s="21"/>
      <c r="O80" s="21"/>
      <c r="P80" s="21"/>
      <c r="Q80" s="21"/>
      <c r="R80" s="22"/>
    </row>
    <row r="81" spans="2:18" x14ac:dyDescent="0.25">
      <c r="B81" s="18"/>
      <c r="C81" s="21"/>
      <c r="D81" s="21"/>
      <c r="E81" s="21"/>
      <c r="F81" s="55" t="s">
        <v>39</v>
      </c>
      <c r="G81" s="35"/>
      <c r="H81" s="106"/>
      <c r="I81" s="21"/>
      <c r="J81" s="21"/>
      <c r="K81" s="21"/>
      <c r="L81" s="21"/>
      <c r="M81" s="21"/>
      <c r="N81" s="21"/>
      <c r="O81" s="21"/>
      <c r="P81" s="21"/>
      <c r="Q81" s="21"/>
      <c r="R81" s="22"/>
    </row>
    <row r="82" spans="2:18" x14ac:dyDescent="0.25">
      <c r="B82" s="18"/>
      <c r="C82" s="21"/>
      <c r="D82" s="21"/>
      <c r="E82" s="21"/>
      <c r="F82" s="18" t="s">
        <v>93</v>
      </c>
      <c r="G82" s="35">
        <f>+P33</f>
        <v>1829086</v>
      </c>
      <c r="H82" s="106">
        <f>+J58</f>
        <v>253752</v>
      </c>
      <c r="I82" s="21"/>
      <c r="J82" s="21"/>
      <c r="K82" s="21"/>
      <c r="L82" s="21"/>
      <c r="M82" s="21"/>
      <c r="N82" s="21"/>
      <c r="O82" s="21"/>
      <c r="P82" s="21"/>
      <c r="Q82" s="21"/>
      <c r="R82" s="22"/>
    </row>
    <row r="83" spans="2:18" x14ac:dyDescent="0.25">
      <c r="B83" s="18"/>
      <c r="C83" s="21"/>
      <c r="D83" s="21"/>
      <c r="E83" s="21"/>
      <c r="F83" s="18"/>
      <c r="G83" s="35"/>
      <c r="H83" s="106"/>
      <c r="I83" s="21"/>
      <c r="J83" s="21"/>
      <c r="K83" s="21"/>
      <c r="L83" s="21"/>
      <c r="M83" s="21"/>
      <c r="N83" s="21"/>
      <c r="O83" s="21"/>
      <c r="P83" s="21"/>
      <c r="Q83" s="21"/>
      <c r="R83" s="22"/>
    </row>
    <row r="84" spans="2:18" x14ac:dyDescent="0.25">
      <c r="B84" s="18"/>
      <c r="C84" s="21"/>
      <c r="D84" s="21"/>
      <c r="E84" s="21"/>
      <c r="F84" s="18" t="s">
        <v>91</v>
      </c>
      <c r="G84" s="35">
        <f>+P35</f>
        <v>5932500</v>
      </c>
      <c r="H84" s="106">
        <f>+J60</f>
        <v>3955000</v>
      </c>
      <c r="I84" s="21"/>
      <c r="J84" s="21"/>
      <c r="K84" s="21"/>
      <c r="L84" s="21"/>
      <c r="M84" s="21"/>
      <c r="N84" s="21"/>
      <c r="O84" s="21"/>
      <c r="P84" s="21"/>
      <c r="Q84" s="21"/>
      <c r="R84" s="22"/>
    </row>
    <row r="85" spans="2:18" ht="15.75" thickBot="1" x14ac:dyDescent="0.3">
      <c r="B85" s="18"/>
      <c r="C85" s="21"/>
      <c r="D85" s="21"/>
      <c r="E85" s="21"/>
      <c r="F85" s="107" t="s">
        <v>92</v>
      </c>
      <c r="G85" s="108">
        <f>+P36</f>
        <v>2647350</v>
      </c>
      <c r="H85" s="109">
        <f>+J61</f>
        <v>46000</v>
      </c>
      <c r="I85" s="21"/>
      <c r="J85" s="21"/>
      <c r="K85" s="21"/>
      <c r="L85" s="21"/>
      <c r="M85" s="21"/>
      <c r="N85" s="21"/>
      <c r="O85" s="21"/>
      <c r="P85" s="21"/>
      <c r="Q85" s="21"/>
      <c r="R85" s="22"/>
    </row>
    <row r="86" spans="2:18" ht="15.75" thickTop="1" x14ac:dyDescent="0.25">
      <c r="B86" s="18"/>
      <c r="C86" s="21"/>
      <c r="D86" s="21"/>
      <c r="E86" s="21"/>
      <c r="F86" s="8" t="s">
        <v>95</v>
      </c>
      <c r="G86" s="57">
        <f>+SUM(G82:G85)</f>
        <v>10408936</v>
      </c>
      <c r="H86" s="110">
        <f>+SUM(H82:H85)</f>
        <v>4254752</v>
      </c>
      <c r="I86" s="21"/>
      <c r="J86" s="21"/>
      <c r="K86" s="21"/>
      <c r="L86" s="21"/>
      <c r="M86" s="21"/>
      <c r="N86" s="21"/>
      <c r="O86" s="21"/>
      <c r="P86" s="21"/>
      <c r="Q86" s="21"/>
      <c r="R86" s="22"/>
    </row>
    <row r="87" spans="2:18" ht="15.75" thickBot="1" x14ac:dyDescent="0.3">
      <c r="B87" s="18"/>
      <c r="C87" s="21"/>
      <c r="D87" s="21"/>
      <c r="E87" s="21"/>
      <c r="F87" s="107"/>
      <c r="G87" s="108"/>
      <c r="H87" s="109"/>
      <c r="I87" s="21"/>
      <c r="J87" s="21"/>
      <c r="K87" s="21"/>
      <c r="L87" s="21"/>
      <c r="M87" s="21"/>
      <c r="N87" s="21"/>
      <c r="O87" s="21"/>
      <c r="P87" s="21"/>
      <c r="Q87" s="21"/>
      <c r="R87" s="22"/>
    </row>
    <row r="88" spans="2:18" ht="15.75" thickTop="1" x14ac:dyDescent="0.25">
      <c r="B88" s="18"/>
      <c r="C88" s="21"/>
      <c r="D88" s="21"/>
      <c r="E88" s="21"/>
      <c r="F88" s="8" t="s">
        <v>96</v>
      </c>
      <c r="G88" s="57">
        <f>+G80-G86</f>
        <v>6079844</v>
      </c>
      <c r="H88" s="110">
        <f>+H80-H86</f>
        <v>9131488</v>
      </c>
      <c r="I88" s="21"/>
      <c r="J88" s="21"/>
      <c r="K88" s="21"/>
      <c r="L88" s="21"/>
      <c r="M88" s="21"/>
      <c r="N88" s="21"/>
      <c r="O88" s="21"/>
      <c r="P88" s="21"/>
      <c r="Q88" s="21"/>
      <c r="R88" s="22"/>
    </row>
    <row r="89" spans="2:18" x14ac:dyDescent="0.25">
      <c r="B89" s="18"/>
      <c r="C89" s="21"/>
      <c r="D89" s="21"/>
      <c r="E89" s="21"/>
      <c r="F89" s="18"/>
      <c r="G89" s="35"/>
      <c r="H89" s="106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spans="2:18" x14ac:dyDescent="0.25">
      <c r="B90" s="18"/>
      <c r="C90" s="21"/>
      <c r="D90" s="21"/>
      <c r="E90" s="21"/>
      <c r="F90" s="18" t="s">
        <v>97</v>
      </c>
      <c r="G90" s="35">
        <f>+D41</f>
        <v>3847000</v>
      </c>
      <c r="H90" s="106">
        <f>+E66</f>
        <v>0</v>
      </c>
      <c r="I90" s="21"/>
      <c r="J90" s="21"/>
      <c r="K90" s="21"/>
      <c r="L90" s="21"/>
      <c r="M90" s="21"/>
      <c r="N90" s="21"/>
      <c r="O90" s="21"/>
      <c r="P90" s="21"/>
      <c r="Q90" s="21"/>
      <c r="R90" s="22"/>
    </row>
    <row r="91" spans="2:18" x14ac:dyDescent="0.25">
      <c r="B91" s="18"/>
      <c r="C91" s="21"/>
      <c r="D91" s="21"/>
      <c r="E91" s="21"/>
      <c r="F91" s="18" t="s">
        <v>98</v>
      </c>
      <c r="G91" s="35">
        <f>+D42</f>
        <v>7331844</v>
      </c>
      <c r="H91" s="106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spans="2:18" ht="15.75" thickBot="1" x14ac:dyDescent="0.3">
      <c r="B92" s="18"/>
      <c r="C92" s="21"/>
      <c r="D92" s="21"/>
      <c r="E92" s="21"/>
      <c r="F92" s="107" t="s">
        <v>99</v>
      </c>
      <c r="G92" s="108">
        <f>+P43</f>
        <v>-7772966.1732508773</v>
      </c>
      <c r="H92" s="109">
        <f>+E68</f>
        <v>0</v>
      </c>
      <c r="I92" s="21"/>
      <c r="J92" s="21"/>
      <c r="K92" s="21"/>
      <c r="L92" s="21"/>
      <c r="M92" s="21"/>
      <c r="N92" s="21"/>
      <c r="O92" s="21"/>
      <c r="P92" s="21"/>
      <c r="Q92" s="21"/>
      <c r="R92" s="22"/>
    </row>
    <row r="93" spans="2:18" ht="15.75" thickTop="1" x14ac:dyDescent="0.25">
      <c r="B93" s="18"/>
      <c r="C93" s="21"/>
      <c r="D93" s="21"/>
      <c r="E93" s="21"/>
      <c r="F93" s="8" t="s">
        <v>100</v>
      </c>
      <c r="G93" s="35">
        <f>+SUM(G91:G92)</f>
        <v>-441122.1732508773</v>
      </c>
      <c r="H93" s="106">
        <f>+SUM(H91:H92)</f>
        <v>0</v>
      </c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spans="2:18" x14ac:dyDescent="0.25">
      <c r="B94" s="18"/>
      <c r="C94" s="21"/>
      <c r="D94" s="21"/>
      <c r="E94" s="21"/>
      <c r="F94" s="18"/>
      <c r="G94" s="35"/>
      <c r="H94" s="106"/>
      <c r="I94" s="21"/>
      <c r="J94" s="21"/>
      <c r="K94" s="21"/>
      <c r="L94" s="21"/>
      <c r="M94" s="21"/>
      <c r="N94" s="21"/>
      <c r="O94" s="21"/>
      <c r="P94" s="21"/>
      <c r="Q94" s="21"/>
      <c r="R94" s="22"/>
    </row>
    <row r="95" spans="2:18" x14ac:dyDescent="0.25">
      <c r="B95" s="18"/>
      <c r="C95" s="21"/>
      <c r="D95" s="21"/>
      <c r="E95" s="21"/>
      <c r="F95" s="18" t="s">
        <v>101</v>
      </c>
      <c r="G95" s="35">
        <f>+G88-G90+G93</f>
        <v>1791721.8267491227</v>
      </c>
      <c r="H95" s="106">
        <f>+H88-H90+H93</f>
        <v>9131488</v>
      </c>
      <c r="I95" s="21"/>
      <c r="J95" s="21"/>
      <c r="K95" s="21"/>
      <c r="L95" s="21"/>
      <c r="M95" s="21"/>
      <c r="N95" s="21"/>
      <c r="O95" s="21"/>
      <c r="P95" s="21"/>
      <c r="Q95" s="21"/>
      <c r="R95" s="22"/>
    </row>
    <row r="96" spans="2:18" x14ac:dyDescent="0.25">
      <c r="B96" s="18"/>
      <c r="C96" s="21"/>
      <c r="D96" s="21"/>
      <c r="E96" s="21"/>
      <c r="F96" s="18"/>
      <c r="G96" s="35"/>
      <c r="H96" s="106"/>
      <c r="I96" s="21"/>
      <c r="J96" s="21"/>
      <c r="K96" s="21"/>
      <c r="L96" s="21"/>
      <c r="M96" s="21"/>
      <c r="N96" s="21"/>
      <c r="O96" s="21"/>
      <c r="P96" s="21"/>
      <c r="Q96" s="21"/>
      <c r="R96" s="22"/>
    </row>
    <row r="97" spans="2:18" x14ac:dyDescent="0.25">
      <c r="B97" s="18"/>
      <c r="C97" s="21"/>
      <c r="D97" s="21"/>
      <c r="E97" s="21"/>
      <c r="F97" s="18" t="s">
        <v>103</v>
      </c>
      <c r="G97" s="35">
        <f>+D48</f>
        <v>7331844</v>
      </c>
      <c r="H97" s="106"/>
      <c r="I97" s="21"/>
      <c r="J97" s="21"/>
      <c r="K97" s="21"/>
      <c r="L97" s="21"/>
      <c r="M97" s="21"/>
      <c r="N97" s="21"/>
      <c r="O97" s="21"/>
      <c r="P97" s="21"/>
      <c r="Q97" s="21"/>
      <c r="R97" s="22"/>
    </row>
    <row r="98" spans="2:18" ht="15.75" thickBot="1" x14ac:dyDescent="0.3">
      <c r="B98" s="18"/>
      <c r="C98" s="21"/>
      <c r="D98" s="21"/>
      <c r="E98" s="21"/>
      <c r="F98" s="107"/>
      <c r="G98" s="108"/>
      <c r="H98" s="109"/>
      <c r="I98" s="21"/>
      <c r="J98" s="21"/>
      <c r="K98" s="21"/>
      <c r="L98" s="21"/>
      <c r="M98" s="21"/>
      <c r="N98" s="21"/>
      <c r="O98" s="21"/>
      <c r="P98" s="21"/>
      <c r="Q98" s="21"/>
      <c r="R98" s="22"/>
    </row>
    <row r="99" spans="2:18" ht="15.75" thickTop="1" x14ac:dyDescent="0.25">
      <c r="B99" s="18"/>
      <c r="C99" s="21"/>
      <c r="D99" s="21"/>
      <c r="E99" s="21"/>
      <c r="F99" s="9" t="s">
        <v>102</v>
      </c>
      <c r="G99" s="53">
        <f>+G97+G95</f>
        <v>9123565.8267491236</v>
      </c>
      <c r="H99" s="111">
        <f>+G99+H95</f>
        <v>18255053.826749124</v>
      </c>
      <c r="I99" s="21"/>
      <c r="J99" s="21"/>
      <c r="K99" s="21"/>
      <c r="L99" s="21"/>
      <c r="M99" s="21"/>
      <c r="N99" s="21"/>
      <c r="O99" s="21"/>
      <c r="P99" s="21"/>
      <c r="Q99" s="21"/>
      <c r="R99" s="22"/>
    </row>
    <row r="100" spans="2:18" x14ac:dyDescent="0.25">
      <c r="B100" s="1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2"/>
    </row>
    <row r="101" spans="2:18" x14ac:dyDescent="0.25">
      <c r="B101" s="1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2"/>
    </row>
    <row r="102" spans="2:18" ht="15" customHeight="1" x14ac:dyDescent="0.25">
      <c r="B102" s="18"/>
      <c r="C102" s="21"/>
      <c r="D102" s="21"/>
      <c r="E102" s="21"/>
      <c r="F102" s="246" t="s">
        <v>132</v>
      </c>
      <c r="G102" s="247"/>
      <c r="H102" s="248"/>
      <c r="I102" s="233" t="s">
        <v>216</v>
      </c>
      <c r="J102" s="240"/>
      <c r="K102" s="211" t="s">
        <v>220</v>
      </c>
      <c r="L102" s="211"/>
      <c r="M102" s="21"/>
      <c r="N102" s="21"/>
      <c r="O102" s="21"/>
      <c r="P102" s="21"/>
      <c r="Q102" s="21"/>
      <c r="R102" s="22"/>
    </row>
    <row r="103" spans="2:18" x14ac:dyDescent="0.25">
      <c r="B103" s="18"/>
      <c r="C103" s="21"/>
      <c r="D103" s="21"/>
      <c r="E103" s="21"/>
      <c r="F103" s="113" t="s">
        <v>45</v>
      </c>
      <c r="G103" s="114" t="s">
        <v>66</v>
      </c>
      <c r="H103" s="115" t="s">
        <v>104</v>
      </c>
      <c r="I103" s="5" t="s">
        <v>217</v>
      </c>
      <c r="J103" s="5" t="s">
        <v>218</v>
      </c>
      <c r="K103" s="5" t="s">
        <v>221</v>
      </c>
      <c r="L103" s="5" t="s">
        <v>222</v>
      </c>
      <c r="M103" s="21"/>
      <c r="N103" s="21"/>
      <c r="O103" s="21"/>
      <c r="P103" s="21"/>
      <c r="Q103" s="21"/>
      <c r="R103" s="22"/>
    </row>
    <row r="104" spans="2:18" x14ac:dyDescent="0.25">
      <c r="B104" s="18"/>
      <c r="C104" s="21"/>
      <c r="D104" s="21"/>
      <c r="E104" s="21"/>
      <c r="F104" s="8" t="s">
        <v>111</v>
      </c>
      <c r="G104" s="35"/>
      <c r="H104" s="106"/>
      <c r="I104" s="18"/>
      <c r="J104" s="22"/>
      <c r="K104" s="174"/>
      <c r="L104" s="91"/>
      <c r="M104" s="21"/>
      <c r="N104" s="21"/>
      <c r="O104" s="21"/>
      <c r="P104" s="21"/>
      <c r="Q104" s="21"/>
      <c r="R104" s="22"/>
    </row>
    <row r="105" spans="2:18" x14ac:dyDescent="0.25">
      <c r="B105" s="18"/>
      <c r="C105" s="21"/>
      <c r="D105" s="21"/>
      <c r="E105" s="21"/>
      <c r="F105" s="18" t="s">
        <v>112</v>
      </c>
      <c r="G105" s="35">
        <f>+G99</f>
        <v>9123565.8267491236</v>
      </c>
      <c r="H105" s="106">
        <f>+H99</f>
        <v>18255053.826749124</v>
      </c>
      <c r="I105" s="167">
        <f>+H105-G105</f>
        <v>9131488</v>
      </c>
      <c r="J105" s="171">
        <f>+I105/H105</f>
        <v>0.50021698575435769</v>
      </c>
      <c r="K105" s="176">
        <f>+G105/G108</f>
        <v>0.93068352871023707</v>
      </c>
      <c r="L105" s="171">
        <f>+H105/H108</f>
        <v>1</v>
      </c>
      <c r="M105" s="21"/>
      <c r="N105" s="21"/>
      <c r="O105" s="21"/>
      <c r="P105" s="21"/>
      <c r="Q105" s="21"/>
      <c r="R105" s="22"/>
    </row>
    <row r="106" spans="2:18" x14ac:dyDescent="0.25">
      <c r="B106" s="18"/>
      <c r="C106" s="21"/>
      <c r="D106" s="21"/>
      <c r="E106" s="21"/>
      <c r="F106" s="18" t="s">
        <v>214</v>
      </c>
      <c r="G106" s="35">
        <f>+PRODUCTO!I187</f>
        <v>0</v>
      </c>
      <c r="H106" s="106">
        <f>+PRODUCTO!I200</f>
        <v>0</v>
      </c>
      <c r="I106" s="167">
        <f t="shared" ref="I106:I108" si="13">+H106-G106</f>
        <v>0</v>
      </c>
      <c r="J106" s="171" t="e">
        <f t="shared" ref="J106:J108" si="14">+I106/H106</f>
        <v>#DIV/0!</v>
      </c>
      <c r="K106" s="176">
        <f>+G106/G108</f>
        <v>0</v>
      </c>
      <c r="L106" s="171">
        <f>+H106/H108</f>
        <v>0</v>
      </c>
      <c r="M106" s="21"/>
      <c r="N106" s="21"/>
      <c r="O106" s="21"/>
      <c r="P106" s="21"/>
      <c r="Q106" s="21"/>
      <c r="R106" s="22"/>
    </row>
    <row r="107" spans="2:18" x14ac:dyDescent="0.25">
      <c r="B107" s="18"/>
      <c r="C107" s="21"/>
      <c r="D107" s="21"/>
      <c r="E107" s="21"/>
      <c r="F107" s="18" t="s">
        <v>113</v>
      </c>
      <c r="G107" s="35">
        <f>+PRODUCTO!M63-PRODUCTO!E44</f>
        <v>679514.96849474916</v>
      </c>
      <c r="H107" s="106">
        <v>0</v>
      </c>
      <c r="I107" s="167">
        <f t="shared" si="13"/>
        <v>-679514.96849474916</v>
      </c>
      <c r="J107" s="171" t="e">
        <f t="shared" si="14"/>
        <v>#DIV/0!</v>
      </c>
      <c r="K107" s="176">
        <f>+G107/G108</f>
        <v>6.9316471289763024E-2</v>
      </c>
      <c r="L107" s="171">
        <f>+H107/H108</f>
        <v>0</v>
      </c>
      <c r="M107" s="21"/>
      <c r="N107" s="21"/>
      <c r="O107" s="21"/>
      <c r="P107" s="21"/>
      <c r="Q107" s="21"/>
      <c r="R107" s="22"/>
    </row>
    <row r="108" spans="2:18" x14ac:dyDescent="0.25">
      <c r="B108" s="18"/>
      <c r="C108" s="21"/>
      <c r="D108" s="21"/>
      <c r="E108" s="21"/>
      <c r="F108" s="18" t="s">
        <v>114</v>
      </c>
      <c r="G108" s="35">
        <f>+SUM(G105:G107)</f>
        <v>9803080.7952438723</v>
      </c>
      <c r="H108" s="106">
        <f>+SUM(H105:H107)</f>
        <v>18255053.826749124</v>
      </c>
      <c r="I108" s="167">
        <f t="shared" si="13"/>
        <v>8451973.0315052513</v>
      </c>
      <c r="J108" s="171">
        <f t="shared" si="14"/>
        <v>0.46299359682635272</v>
      </c>
      <c r="K108" s="176">
        <f>+G108/G108</f>
        <v>1</v>
      </c>
      <c r="L108" s="171">
        <f>+H108/H108</f>
        <v>1</v>
      </c>
      <c r="M108" s="21"/>
      <c r="N108" s="21"/>
      <c r="O108" s="21"/>
      <c r="P108" s="21"/>
      <c r="Q108" s="21"/>
      <c r="R108" s="22"/>
    </row>
    <row r="109" spans="2:18" x14ac:dyDescent="0.25">
      <c r="B109" s="18"/>
      <c r="C109" s="21"/>
      <c r="D109" s="21"/>
      <c r="E109" s="21"/>
      <c r="F109" s="18"/>
      <c r="G109" s="35"/>
      <c r="H109" s="106"/>
      <c r="I109" s="167"/>
      <c r="J109" s="171"/>
      <c r="K109" s="176"/>
      <c r="L109" s="171"/>
      <c r="M109" s="21"/>
      <c r="N109" s="21"/>
      <c r="O109" s="21"/>
      <c r="P109" s="21"/>
      <c r="Q109" s="21"/>
      <c r="R109" s="22"/>
    </row>
    <row r="110" spans="2:18" x14ac:dyDescent="0.25">
      <c r="B110" s="18"/>
      <c r="C110" s="21"/>
      <c r="D110" s="21"/>
      <c r="E110" s="21"/>
      <c r="F110" s="18" t="s">
        <v>213</v>
      </c>
      <c r="G110" s="35">
        <f>+'INVERSIONES '!G19</f>
        <v>3847000</v>
      </c>
      <c r="H110" s="106">
        <f>+G112</f>
        <v>2608166.6666666665</v>
      </c>
      <c r="I110" s="167">
        <f>+H110-G110</f>
        <v>-1238833.3333333335</v>
      </c>
      <c r="J110" s="171">
        <f t="shared" ref="J110:J112" si="15">+I110/H110</f>
        <v>-0.47498242699214016</v>
      </c>
      <c r="K110" s="176">
        <f>+G110/G112</f>
        <v>1.4749824269921401</v>
      </c>
      <c r="L110" s="171">
        <f>+H110/H112</f>
        <v>1.2467418654521554</v>
      </c>
      <c r="M110" s="21"/>
      <c r="N110" s="21"/>
      <c r="O110" s="21"/>
      <c r="P110" s="21"/>
      <c r="Q110" s="21"/>
      <c r="R110" s="22"/>
    </row>
    <row r="111" spans="2:18" x14ac:dyDescent="0.25">
      <c r="B111" s="18"/>
      <c r="C111" s="21"/>
      <c r="D111" s="21"/>
      <c r="E111" s="21"/>
      <c r="F111" s="18" t="s">
        <v>115</v>
      </c>
      <c r="G111" s="35">
        <f>+-'GASTOS '!C23</f>
        <v>-1238833.3333333335</v>
      </c>
      <c r="H111" s="106">
        <f>+-'GASTOS '!D23</f>
        <v>-516180.55555555562</v>
      </c>
      <c r="I111" s="167">
        <f t="shared" ref="I111:I112" si="16">+H111-G111</f>
        <v>722652.77777777787</v>
      </c>
      <c r="J111" s="171">
        <f t="shared" si="15"/>
        <v>-1.4</v>
      </c>
      <c r="K111" s="176">
        <f>+G111/G112</f>
        <v>-0.47498242699214016</v>
      </c>
      <c r="L111" s="171">
        <f>+H111/H112</f>
        <v>-0.24674186545215543</v>
      </c>
      <c r="M111" s="21"/>
      <c r="N111" s="21"/>
      <c r="O111" s="21"/>
      <c r="P111" s="21"/>
      <c r="Q111" s="21"/>
      <c r="R111" s="22"/>
    </row>
    <row r="112" spans="2:18" x14ac:dyDescent="0.25">
      <c r="B112" s="18"/>
      <c r="C112" s="21"/>
      <c r="D112" s="21"/>
      <c r="E112" s="21"/>
      <c r="F112" s="18" t="s">
        <v>117</v>
      </c>
      <c r="G112" s="35">
        <f>+SUM(G110:G111)</f>
        <v>2608166.6666666665</v>
      </c>
      <c r="H112" s="106">
        <f>+SUM(H110:H111)</f>
        <v>2091986.111111111</v>
      </c>
      <c r="I112" s="167">
        <f t="shared" si="16"/>
        <v>-516180.5555555555</v>
      </c>
      <c r="J112" s="171">
        <f t="shared" si="15"/>
        <v>-0.24674186545215537</v>
      </c>
      <c r="K112" s="176">
        <f>+G112/G112</f>
        <v>1</v>
      </c>
      <c r="L112" s="171">
        <f>+H112/H112</f>
        <v>1</v>
      </c>
      <c r="M112" s="21"/>
      <c r="N112" s="21"/>
      <c r="O112" s="21"/>
      <c r="P112" s="21"/>
      <c r="Q112" s="21"/>
      <c r="R112" s="22"/>
    </row>
    <row r="113" spans="2:18" ht="15.75" thickBot="1" x14ac:dyDescent="0.3">
      <c r="B113" s="18"/>
      <c r="C113" s="21"/>
      <c r="D113" s="21"/>
      <c r="E113" s="21"/>
      <c r="F113" s="107"/>
      <c r="G113" s="108"/>
      <c r="H113" s="109"/>
      <c r="I113" s="169"/>
      <c r="J113" s="168"/>
      <c r="K113" s="175"/>
      <c r="L113" s="172"/>
      <c r="M113" s="21"/>
      <c r="N113" s="21"/>
      <c r="O113" s="21"/>
      <c r="P113" s="21"/>
      <c r="Q113" s="21"/>
      <c r="R113" s="22"/>
    </row>
    <row r="114" spans="2:18" ht="15.75" thickTop="1" x14ac:dyDescent="0.25">
      <c r="B114" s="18"/>
      <c r="C114" s="21"/>
      <c r="D114" s="21"/>
      <c r="E114" s="21"/>
      <c r="F114" s="8" t="s">
        <v>118</v>
      </c>
      <c r="G114" s="57">
        <f>+G108+G112</f>
        <v>12411247.461910538</v>
      </c>
      <c r="H114" s="110">
        <f>+H108+H112</f>
        <v>20347039.937860236</v>
      </c>
      <c r="I114" s="170">
        <f>+G114-H114</f>
        <v>-7935792.4759496972</v>
      </c>
      <c r="J114" s="143">
        <f>+I114/H114</f>
        <v>-0.39002196389182753</v>
      </c>
      <c r="K114" s="182"/>
      <c r="L114" s="181"/>
      <c r="M114" s="21"/>
      <c r="N114" s="21"/>
      <c r="O114" s="21"/>
      <c r="P114" s="21"/>
      <c r="Q114" s="21"/>
      <c r="R114" s="22"/>
    </row>
    <row r="115" spans="2:18" x14ac:dyDescent="0.25">
      <c r="B115" s="18"/>
      <c r="C115" s="21"/>
      <c r="D115" s="21"/>
      <c r="E115" s="21"/>
      <c r="F115" s="18"/>
      <c r="G115" s="35"/>
      <c r="H115" s="106"/>
      <c r="I115" s="167"/>
      <c r="J115" s="143"/>
      <c r="K115" s="176"/>
      <c r="L115" s="171"/>
      <c r="M115" s="21"/>
      <c r="N115" s="21"/>
      <c r="O115" s="21"/>
      <c r="P115" s="21"/>
      <c r="Q115" s="21"/>
      <c r="R115" s="22"/>
    </row>
    <row r="116" spans="2:18" x14ac:dyDescent="0.25">
      <c r="B116" s="18"/>
      <c r="C116" s="21"/>
      <c r="D116" s="21"/>
      <c r="E116" s="21"/>
      <c r="F116" s="8" t="s">
        <v>119</v>
      </c>
      <c r="G116" s="35"/>
      <c r="H116" s="106"/>
      <c r="I116" s="167"/>
      <c r="J116" s="143"/>
      <c r="K116" s="176"/>
      <c r="L116" s="171"/>
      <c r="M116" s="21"/>
      <c r="N116" s="21"/>
      <c r="O116" s="21"/>
      <c r="P116" s="21"/>
      <c r="Q116" s="21"/>
      <c r="R116" s="22"/>
    </row>
    <row r="117" spans="2:18" x14ac:dyDescent="0.25">
      <c r="B117" s="18"/>
      <c r="C117" s="21"/>
      <c r="D117" s="21"/>
      <c r="E117" s="21"/>
      <c r="F117" s="18" t="s">
        <v>120</v>
      </c>
      <c r="G117" s="35">
        <f>+PRODUCTO!I94</f>
        <v>0</v>
      </c>
      <c r="H117" s="106">
        <f>+PRODUCTO!I107</f>
        <v>0</v>
      </c>
      <c r="I117" s="167">
        <f>+H117-G117</f>
        <v>0</v>
      </c>
      <c r="J117" s="186" t="e">
        <f t="shared" ref="J117:J128" si="17">+I117/H117</f>
        <v>#DIV/0!</v>
      </c>
      <c r="K117" s="185" t="e">
        <f>+G117/$G$120</f>
        <v>#DIV/0!</v>
      </c>
      <c r="L117" s="187" t="e">
        <f>+H117/$G$120</f>
        <v>#DIV/0!</v>
      </c>
      <c r="M117" s="21"/>
      <c r="N117" s="21"/>
      <c r="O117" s="21"/>
      <c r="P117" s="21"/>
      <c r="Q117" s="21"/>
      <c r="R117" s="22"/>
    </row>
    <row r="118" spans="2:18" x14ac:dyDescent="0.25">
      <c r="B118" s="18"/>
      <c r="C118" s="21"/>
      <c r="D118" s="21"/>
      <c r="E118" s="21"/>
      <c r="F118" s="18" t="s">
        <v>121</v>
      </c>
      <c r="G118" s="35">
        <v>0</v>
      </c>
      <c r="H118" s="106">
        <v>0</v>
      </c>
      <c r="I118" s="167">
        <f t="shared" ref="I118:I120" si="18">+H118-G118</f>
        <v>0</v>
      </c>
      <c r="J118" s="186" t="e">
        <f t="shared" si="17"/>
        <v>#DIV/0!</v>
      </c>
      <c r="K118" s="185" t="e">
        <f t="shared" ref="K118:L119" si="19">+G118/$G$120</f>
        <v>#DIV/0!</v>
      </c>
      <c r="L118" s="187" t="e">
        <f t="shared" si="19"/>
        <v>#DIV/0!</v>
      </c>
      <c r="M118" s="21"/>
      <c r="N118" s="21"/>
      <c r="O118" s="21"/>
      <c r="P118" s="21"/>
      <c r="Q118" s="21"/>
      <c r="R118" s="22"/>
    </row>
    <row r="119" spans="2:18" x14ac:dyDescent="0.25">
      <c r="B119" s="18"/>
      <c r="C119" s="21"/>
      <c r="D119" s="21"/>
      <c r="E119" s="21"/>
      <c r="F119" s="18" t="s">
        <v>122</v>
      </c>
      <c r="G119" s="35">
        <f>+G21</f>
        <v>0</v>
      </c>
      <c r="H119" s="106">
        <f>+H21</f>
        <v>0</v>
      </c>
      <c r="I119" s="167">
        <f t="shared" si="18"/>
        <v>0</v>
      </c>
      <c r="J119" s="186" t="e">
        <f t="shared" si="17"/>
        <v>#DIV/0!</v>
      </c>
      <c r="K119" s="185" t="e">
        <f t="shared" si="19"/>
        <v>#DIV/0!</v>
      </c>
      <c r="L119" s="187" t="e">
        <f t="shared" si="19"/>
        <v>#DIV/0!</v>
      </c>
      <c r="M119" s="21"/>
      <c r="N119" s="21"/>
      <c r="O119" s="21"/>
      <c r="P119" s="21"/>
      <c r="Q119" s="21"/>
      <c r="R119" s="22"/>
    </row>
    <row r="120" spans="2:18" x14ac:dyDescent="0.25">
      <c r="B120" s="18"/>
      <c r="C120" s="21"/>
      <c r="D120" s="21"/>
      <c r="E120" s="21"/>
      <c r="F120" s="18" t="s">
        <v>123</v>
      </c>
      <c r="G120" s="35">
        <f>+SUM(G117:G119)</f>
        <v>0</v>
      </c>
      <c r="H120" s="106">
        <f>+SUM(H117:H119)</f>
        <v>0</v>
      </c>
      <c r="I120" s="167">
        <f t="shared" si="18"/>
        <v>0</v>
      </c>
      <c r="J120" s="186" t="e">
        <f t="shared" si="17"/>
        <v>#DIV/0!</v>
      </c>
      <c r="K120" s="185" t="e">
        <f>+G120/G120</f>
        <v>#DIV/0!</v>
      </c>
      <c r="L120" s="187" t="e">
        <f>+H120/H120</f>
        <v>#DIV/0!</v>
      </c>
      <c r="M120" s="21"/>
      <c r="N120" s="21"/>
      <c r="O120" s="21"/>
      <c r="P120" s="21"/>
      <c r="Q120" s="21"/>
      <c r="R120" s="22"/>
    </row>
    <row r="121" spans="2:18" x14ac:dyDescent="0.25">
      <c r="B121" s="18"/>
      <c r="C121" s="21"/>
      <c r="D121" s="21"/>
      <c r="E121" s="21"/>
      <c r="F121" s="18"/>
      <c r="G121" s="35"/>
      <c r="H121" s="106"/>
      <c r="I121" s="167"/>
      <c r="J121" s="186"/>
      <c r="K121" s="176"/>
      <c r="L121" s="171"/>
      <c r="M121" s="21"/>
      <c r="N121" s="21"/>
      <c r="O121" s="21"/>
      <c r="P121" s="21"/>
      <c r="Q121" s="21"/>
      <c r="R121" s="22"/>
    </row>
    <row r="122" spans="2:18" x14ac:dyDescent="0.25">
      <c r="B122" s="18"/>
      <c r="C122" s="21"/>
      <c r="D122" s="21"/>
      <c r="E122" s="21"/>
      <c r="F122" s="18" t="s">
        <v>124</v>
      </c>
      <c r="G122" s="35"/>
      <c r="H122" s="106">
        <f>+'INVERSIONES '!H45</f>
        <v>0</v>
      </c>
      <c r="I122" s="167">
        <f>+H122-G122</f>
        <v>0</v>
      </c>
      <c r="J122" s="186" t="e">
        <f t="shared" si="17"/>
        <v>#DIV/0!</v>
      </c>
      <c r="K122" s="176" t="e">
        <f>+G122/G123</f>
        <v>#DIV/0!</v>
      </c>
      <c r="L122" s="171" t="e">
        <f>+H122/H123</f>
        <v>#DIV/0!</v>
      </c>
      <c r="M122" s="21"/>
      <c r="N122" s="21"/>
      <c r="O122" s="21"/>
      <c r="P122" s="21"/>
      <c r="Q122" s="21"/>
      <c r="R122" s="22"/>
    </row>
    <row r="123" spans="2:18" x14ac:dyDescent="0.25">
      <c r="B123" s="18"/>
      <c r="C123" s="21"/>
      <c r="D123" s="21"/>
      <c r="E123" s="21"/>
      <c r="F123" s="18" t="s">
        <v>125</v>
      </c>
      <c r="G123" s="35">
        <f>+SUM(G122)</f>
        <v>0</v>
      </c>
      <c r="H123" s="106">
        <f>+SUM(H122)</f>
        <v>0</v>
      </c>
      <c r="I123" s="167">
        <f>+H123-G123</f>
        <v>0</v>
      </c>
      <c r="J123" s="186" t="e">
        <f t="shared" si="17"/>
        <v>#DIV/0!</v>
      </c>
      <c r="K123" s="176" t="e">
        <f>+G123/G123</f>
        <v>#DIV/0!</v>
      </c>
      <c r="L123" s="171" t="e">
        <f>+H123/H123</f>
        <v>#DIV/0!</v>
      </c>
      <c r="M123" s="21"/>
      <c r="N123" s="21"/>
      <c r="O123" s="21"/>
      <c r="P123" s="21"/>
      <c r="Q123" s="21"/>
      <c r="R123" s="22"/>
    </row>
    <row r="124" spans="2:18" ht="15.75" thickBot="1" x14ac:dyDescent="0.3">
      <c r="B124" s="18"/>
      <c r="C124" s="21"/>
      <c r="D124" s="21"/>
      <c r="E124" s="21"/>
      <c r="F124" s="107"/>
      <c r="G124" s="108"/>
      <c r="H124" s="109"/>
      <c r="I124" s="169"/>
      <c r="J124" s="118"/>
      <c r="K124" s="175"/>
      <c r="L124" s="172"/>
      <c r="M124" s="21"/>
      <c r="N124" s="21"/>
      <c r="O124" s="21"/>
      <c r="P124" s="21"/>
      <c r="Q124" s="21"/>
      <c r="R124" s="22"/>
    </row>
    <row r="125" spans="2:18" ht="15.75" thickTop="1" x14ac:dyDescent="0.25">
      <c r="B125" s="18"/>
      <c r="C125" s="21"/>
      <c r="D125" s="21"/>
      <c r="E125" s="21"/>
      <c r="F125" s="8" t="s">
        <v>126</v>
      </c>
      <c r="G125" s="57">
        <f>+G120+G123</f>
        <v>0</v>
      </c>
      <c r="H125" s="110">
        <f>+H120+H123</f>
        <v>0</v>
      </c>
      <c r="I125" s="170">
        <f>+H125-G125</f>
        <v>0</v>
      </c>
      <c r="J125" s="184" t="e">
        <f t="shared" si="17"/>
        <v>#DIV/0!</v>
      </c>
      <c r="K125" s="182"/>
      <c r="L125" s="181"/>
      <c r="M125" s="21"/>
      <c r="N125" s="21"/>
      <c r="O125" s="21"/>
      <c r="P125" s="21"/>
      <c r="Q125" s="21"/>
      <c r="R125" s="22"/>
    </row>
    <row r="126" spans="2:18" x14ac:dyDescent="0.25">
      <c r="B126" s="18"/>
      <c r="C126" s="21"/>
      <c r="D126" s="21"/>
      <c r="E126" s="21"/>
      <c r="F126" s="18"/>
      <c r="G126" s="35"/>
      <c r="H126" s="106"/>
      <c r="I126" s="167"/>
      <c r="J126" s="184"/>
      <c r="K126" s="176"/>
      <c r="L126" s="125"/>
      <c r="M126" s="18"/>
      <c r="N126" s="21"/>
      <c r="O126" s="21"/>
      <c r="P126" s="21"/>
      <c r="Q126" s="21"/>
      <c r="R126" s="22"/>
    </row>
    <row r="127" spans="2:18" x14ac:dyDescent="0.25">
      <c r="B127" s="18"/>
      <c r="C127" s="21"/>
      <c r="D127" s="21"/>
      <c r="E127" s="21"/>
      <c r="F127" s="8" t="s">
        <v>127</v>
      </c>
      <c r="G127" s="35"/>
      <c r="H127" s="106"/>
      <c r="I127" s="167"/>
      <c r="J127" s="184"/>
      <c r="K127" s="176"/>
      <c r="L127" s="125"/>
      <c r="M127" s="18"/>
      <c r="N127" s="21"/>
      <c r="O127" s="21"/>
      <c r="P127" s="21"/>
      <c r="Q127" s="21"/>
      <c r="R127" s="22"/>
    </row>
    <row r="128" spans="2:18" x14ac:dyDescent="0.25">
      <c r="B128" s="18"/>
      <c r="C128" s="21"/>
      <c r="D128" s="21"/>
      <c r="E128" s="21"/>
      <c r="F128" s="18" t="s">
        <v>128</v>
      </c>
      <c r="G128" s="35">
        <f>+'INVERSIONES '!F5</f>
        <v>7331844</v>
      </c>
      <c r="H128" s="106">
        <f>+'INVERSIONES '!F5</f>
        <v>7331844</v>
      </c>
      <c r="I128" s="167">
        <f>+H128-G128</f>
        <v>0</v>
      </c>
      <c r="J128" s="184">
        <f t="shared" si="17"/>
        <v>0</v>
      </c>
      <c r="K128" s="176">
        <f>+G128/G132</f>
        <v>0.59074190749165534</v>
      </c>
      <c r="L128" s="125">
        <f>+H128/H132</f>
        <v>0.36033958857855569</v>
      </c>
      <c r="M128" s="18"/>
      <c r="N128" s="21"/>
      <c r="O128" s="21"/>
      <c r="P128" s="21"/>
      <c r="Q128" s="21"/>
      <c r="R128" s="22"/>
    </row>
    <row r="129" spans="1:18" x14ac:dyDescent="0.25">
      <c r="B129" s="18"/>
      <c r="C129" s="21"/>
      <c r="D129" s="21"/>
      <c r="E129" s="21"/>
      <c r="F129" s="18" t="s">
        <v>207</v>
      </c>
      <c r="G129" s="35">
        <v>0</v>
      </c>
      <c r="H129" s="106">
        <f>+G130</f>
        <v>5079403.461910544</v>
      </c>
      <c r="I129" s="167">
        <f t="shared" ref="I129:I130" si="20">+H129-G129</f>
        <v>5079403.461910544</v>
      </c>
      <c r="J129" s="171">
        <f t="shared" ref="J129:J134" si="21">+I129/H129</f>
        <v>1</v>
      </c>
      <c r="K129" s="176">
        <f>+G129/G132</f>
        <v>0</v>
      </c>
      <c r="L129" s="125">
        <f>+H129/H132</f>
        <v>0.24963844752961695</v>
      </c>
      <c r="M129" s="18"/>
      <c r="N129" s="21"/>
      <c r="O129" s="21"/>
      <c r="P129" s="21"/>
      <c r="Q129" s="21"/>
      <c r="R129" s="22"/>
    </row>
    <row r="130" spans="1:18" s="3" customFormat="1" x14ac:dyDescent="0.25">
      <c r="A130" s="4"/>
      <c r="B130" s="18"/>
      <c r="C130" s="21"/>
      <c r="D130" s="21"/>
      <c r="E130" s="21"/>
      <c r="F130" s="18" t="s">
        <v>129</v>
      </c>
      <c r="G130" s="35">
        <f>+G23</f>
        <v>5079403.461910544</v>
      </c>
      <c r="H130" s="106">
        <f>+H23</f>
        <v>7935792.4759496953</v>
      </c>
      <c r="I130" s="167">
        <f t="shared" si="20"/>
        <v>2856389.0140391514</v>
      </c>
      <c r="J130" s="171">
        <f t="shared" si="21"/>
        <v>0.35993746342230559</v>
      </c>
      <c r="K130" s="176">
        <f>+G130/G132</f>
        <v>0.40925809250834472</v>
      </c>
      <c r="L130" s="125">
        <f>+H130/H132</f>
        <v>0.39002196389182736</v>
      </c>
      <c r="M130" s="18"/>
      <c r="N130" s="21"/>
      <c r="O130" s="21"/>
      <c r="P130" s="21"/>
      <c r="Q130" s="21"/>
      <c r="R130" s="22"/>
    </row>
    <row r="131" spans="1:18" ht="15.75" thickBot="1" x14ac:dyDescent="0.3">
      <c r="B131" s="18"/>
      <c r="C131" s="21"/>
      <c r="D131" s="21"/>
      <c r="E131" s="21"/>
      <c r="F131" s="107"/>
      <c r="G131" s="108"/>
      <c r="H131" s="109"/>
      <c r="I131" s="169"/>
      <c r="J131" s="168"/>
      <c r="K131" s="175"/>
      <c r="L131" s="172"/>
      <c r="M131" s="21"/>
      <c r="N131" s="21"/>
      <c r="O131" s="21"/>
      <c r="P131" s="21"/>
      <c r="Q131" s="21"/>
      <c r="R131" s="22"/>
    </row>
    <row r="132" spans="1:18" ht="15.75" thickTop="1" x14ac:dyDescent="0.25">
      <c r="B132" s="18"/>
      <c r="C132" s="21"/>
      <c r="D132" s="21"/>
      <c r="E132" s="21"/>
      <c r="F132" s="8" t="s">
        <v>130</v>
      </c>
      <c r="G132" s="57">
        <f>+SUM(G128:G130)</f>
        <v>12411247.461910544</v>
      </c>
      <c r="H132" s="110">
        <f>+SUM(H128:H130)</f>
        <v>20347039.937860239</v>
      </c>
      <c r="I132" s="170">
        <f>+H132-G132</f>
        <v>7935792.4759496953</v>
      </c>
      <c r="J132" s="181">
        <f t="shared" si="21"/>
        <v>0.39002196389182736</v>
      </c>
      <c r="K132" s="182">
        <f>+G132/G132</f>
        <v>1</v>
      </c>
      <c r="L132" s="181">
        <f>+H132/H132</f>
        <v>1</v>
      </c>
      <c r="M132" s="21"/>
      <c r="N132" s="21"/>
      <c r="O132" s="21"/>
      <c r="P132" s="21"/>
      <c r="Q132" s="21"/>
      <c r="R132" s="22"/>
    </row>
    <row r="133" spans="1:18" ht="15.75" thickBot="1" x14ac:dyDescent="0.3">
      <c r="B133" s="18"/>
      <c r="C133" s="21"/>
      <c r="D133" s="21"/>
      <c r="E133" s="21"/>
      <c r="F133" s="120"/>
      <c r="G133" s="121"/>
      <c r="H133" s="116"/>
      <c r="I133" s="169"/>
      <c r="J133" s="168"/>
      <c r="K133" s="175"/>
      <c r="L133" s="172"/>
      <c r="M133" s="21"/>
      <c r="N133" s="21"/>
      <c r="O133" s="21"/>
      <c r="P133" s="21"/>
      <c r="Q133" s="21"/>
      <c r="R133" s="22"/>
    </row>
    <row r="134" spans="1:18" ht="15.75" thickTop="1" x14ac:dyDescent="0.25">
      <c r="B134" s="18"/>
      <c r="C134" s="21"/>
      <c r="D134" s="21"/>
      <c r="E134" s="21"/>
      <c r="F134" s="9" t="s">
        <v>131</v>
      </c>
      <c r="G134" s="53">
        <f>+G125+G132</f>
        <v>12411247.461910544</v>
      </c>
      <c r="H134" s="111">
        <f>+H125+H132</f>
        <v>20347039.937860239</v>
      </c>
      <c r="I134" s="173">
        <f>+H134-G134</f>
        <v>7935792.4759496953</v>
      </c>
      <c r="J134" s="171">
        <f t="shared" si="21"/>
        <v>0.39002196389182736</v>
      </c>
      <c r="K134" s="179"/>
      <c r="L134" s="180"/>
      <c r="M134" s="21"/>
      <c r="N134" s="21"/>
      <c r="O134" s="21"/>
      <c r="P134" s="21"/>
      <c r="Q134" s="21"/>
      <c r="R134" s="22"/>
    </row>
    <row r="135" spans="1:18" x14ac:dyDescent="0.25">
      <c r="B135" s="18"/>
      <c r="C135" s="21"/>
      <c r="D135" s="21"/>
      <c r="E135" s="21"/>
      <c r="F135" s="21"/>
      <c r="G135" s="37"/>
      <c r="H135" s="37"/>
      <c r="I135" s="37"/>
      <c r="J135" s="84"/>
      <c r="K135" s="21"/>
      <c r="L135" s="21"/>
      <c r="M135" s="21"/>
      <c r="N135" s="21"/>
      <c r="O135" s="21"/>
      <c r="P135" s="21"/>
      <c r="Q135" s="21"/>
      <c r="R135" s="22"/>
    </row>
    <row r="136" spans="1:18" x14ac:dyDescent="0.25">
      <c r="B136" s="39"/>
      <c r="C136" s="40"/>
      <c r="D136" s="40"/>
      <c r="E136" s="40"/>
      <c r="F136" s="40"/>
      <c r="G136" s="40"/>
      <c r="H136" s="40"/>
      <c r="I136" s="104"/>
      <c r="J136" s="40"/>
      <c r="K136" s="40"/>
      <c r="L136" s="40"/>
      <c r="M136" s="40"/>
      <c r="N136" s="40"/>
      <c r="O136" s="40"/>
      <c r="P136" s="40"/>
      <c r="Q136" s="40"/>
      <c r="R136" s="43"/>
    </row>
    <row r="137" spans="1:18" x14ac:dyDescent="0.25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1:18" x14ac:dyDescent="0.25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8" x14ac:dyDescent="0.25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8" x14ac:dyDescent="0.25">
      <c r="C140" s="21"/>
      <c r="D140" s="21"/>
      <c r="E140" s="21"/>
      <c r="I140" s="21"/>
      <c r="J140" s="21"/>
      <c r="K140" s="21"/>
      <c r="L140" s="21"/>
      <c r="M140" s="21"/>
      <c r="N140" s="21"/>
      <c r="O140" s="21"/>
      <c r="P140" s="21"/>
      <c r="Q140" s="21"/>
    </row>
  </sheetData>
  <mergeCells count="10">
    <mergeCell ref="B3:R3"/>
    <mergeCell ref="C53:J53"/>
    <mergeCell ref="F6:H6"/>
    <mergeCell ref="F102:H102"/>
    <mergeCell ref="C28:P28"/>
    <mergeCell ref="C27:P27"/>
    <mergeCell ref="I102:J102"/>
    <mergeCell ref="I6:J6"/>
    <mergeCell ref="K6:L6"/>
    <mergeCell ref="K102:L10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topLeftCell="B30" zoomScale="78" zoomScaleNormal="78" workbookViewId="0">
      <selection activeCell="Q39" sqref="Q39"/>
    </sheetView>
  </sheetViews>
  <sheetFormatPr baseColWidth="10" defaultRowHeight="15" x14ac:dyDescent="0.25"/>
  <cols>
    <col min="1" max="1" width="11.375" style="3"/>
    <col min="3" max="3" width="23.75" style="142" bestFit="1" customWidth="1"/>
    <col min="4" max="4" width="15.875" style="142" bestFit="1" customWidth="1"/>
    <col min="5" max="6" width="13.25" style="142" bestFit="1" customWidth="1"/>
    <col min="7" max="7" width="26.375" style="142" bestFit="1" customWidth="1"/>
    <col min="8" max="9" width="13.25" style="142" bestFit="1" customWidth="1"/>
    <col min="10" max="10" width="23.75" style="142" bestFit="1" customWidth="1"/>
    <col min="11" max="11" width="14.375" style="142" bestFit="1" customWidth="1"/>
    <col min="12" max="14" width="12.25" style="142" bestFit="1" customWidth="1"/>
    <col min="15" max="15" width="11.375" style="142" customWidth="1"/>
  </cols>
  <sheetData>
    <row r="2" spans="3:15" ht="26.25" x14ac:dyDescent="0.25">
      <c r="C2" s="255" t="s">
        <v>176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7"/>
    </row>
    <row r="3" spans="3:15" x14ac:dyDescent="0.25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3:15" x14ac:dyDescent="0.25">
      <c r="C4" s="122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3:15" x14ac:dyDescent="0.25">
      <c r="C5" s="122"/>
      <c r="D5" s="123"/>
      <c r="E5" s="123"/>
      <c r="F5" s="123"/>
      <c r="G5" s="14"/>
      <c r="H5" s="125"/>
      <c r="I5" s="123"/>
      <c r="J5" s="123"/>
      <c r="K5" s="123"/>
      <c r="L5" s="123"/>
      <c r="M5" s="123"/>
      <c r="N5" s="123"/>
      <c r="O5" s="124"/>
    </row>
    <row r="6" spans="3:15" x14ac:dyDescent="0.25"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3:15" x14ac:dyDescent="0.25">
      <c r="C7" s="122"/>
      <c r="D7" s="123"/>
      <c r="E7" s="123"/>
      <c r="F7" s="123"/>
      <c r="G7" s="113" t="s">
        <v>105</v>
      </c>
      <c r="H7" s="114" t="s">
        <v>106</v>
      </c>
      <c r="I7" s="114" t="s">
        <v>66</v>
      </c>
      <c r="J7" s="114" t="s">
        <v>18</v>
      </c>
      <c r="K7" s="122"/>
      <c r="L7" s="123"/>
      <c r="M7" s="123"/>
      <c r="N7" s="123"/>
      <c r="O7" s="124"/>
    </row>
    <row r="8" spans="3:15" x14ac:dyDescent="0.25">
      <c r="C8" s="122"/>
      <c r="D8" s="123"/>
      <c r="E8" s="123"/>
      <c r="F8" s="123"/>
      <c r="G8" s="122" t="s">
        <v>107</v>
      </c>
      <c r="H8" s="35"/>
      <c r="I8" s="35">
        <f>+'ESTADOS FINANCIEROS '!P31</f>
        <v>16488780</v>
      </c>
      <c r="J8" s="35">
        <f>+'ESTADOS FINANCIEROS '!J56</f>
        <v>13386240</v>
      </c>
      <c r="K8" s="122"/>
      <c r="L8" s="123"/>
      <c r="M8" s="123"/>
      <c r="N8" s="123"/>
      <c r="O8" s="124"/>
    </row>
    <row r="9" spans="3:15" ht="15.75" thickBot="1" x14ac:dyDescent="0.3">
      <c r="C9" s="122"/>
      <c r="D9" s="123"/>
      <c r="E9" s="123"/>
      <c r="F9" s="123"/>
      <c r="G9" s="126" t="s">
        <v>108</v>
      </c>
      <c r="H9" s="108"/>
      <c r="I9" s="108">
        <f>+'ESTADOS FINANCIEROS '!G86</f>
        <v>10408936</v>
      </c>
      <c r="J9" s="108">
        <f>+'ESTADOS FINANCIEROS '!H86</f>
        <v>4254752</v>
      </c>
      <c r="K9" s="122"/>
      <c r="L9" s="123"/>
      <c r="M9" s="123"/>
      <c r="N9" s="123"/>
      <c r="O9" s="124"/>
    </row>
    <row r="10" spans="3:15" ht="15.75" thickTop="1" x14ac:dyDescent="0.25">
      <c r="C10" s="122"/>
      <c r="D10" s="123"/>
      <c r="E10" s="123"/>
      <c r="F10" s="123"/>
      <c r="G10" s="122"/>
      <c r="H10" s="35"/>
      <c r="I10" s="35">
        <f>+I8-I9</f>
        <v>6079844</v>
      </c>
      <c r="J10" s="35">
        <f>+J8-J9</f>
        <v>9131488</v>
      </c>
      <c r="K10" s="122"/>
      <c r="L10" s="123"/>
      <c r="M10" s="123"/>
      <c r="N10" s="123"/>
      <c r="O10" s="124"/>
    </row>
    <row r="11" spans="3:15" x14ac:dyDescent="0.25">
      <c r="C11" s="122"/>
      <c r="D11" s="123"/>
      <c r="E11" s="123"/>
      <c r="F11" s="123"/>
      <c r="G11" s="122" t="s">
        <v>109</v>
      </c>
      <c r="H11" s="35">
        <f>+-'INVERSIONES '!G19</f>
        <v>-3847000</v>
      </c>
      <c r="I11" s="35"/>
      <c r="J11" s="35"/>
      <c r="K11" s="122"/>
      <c r="L11" s="123"/>
      <c r="M11" s="123"/>
      <c r="N11" s="123"/>
      <c r="O11" s="124"/>
    </row>
    <row r="12" spans="3:15" ht="15.75" thickBot="1" x14ac:dyDescent="0.3">
      <c r="C12" s="122"/>
      <c r="D12" s="123"/>
      <c r="E12" s="123"/>
      <c r="F12" s="123"/>
      <c r="G12" s="126"/>
      <c r="H12" s="108"/>
      <c r="I12" s="108"/>
      <c r="J12" s="108"/>
      <c r="K12" s="122"/>
      <c r="L12" s="123"/>
      <c r="M12" s="123"/>
      <c r="N12" s="123"/>
      <c r="O12" s="124"/>
    </row>
    <row r="13" spans="3:15" ht="15.75" thickTop="1" x14ac:dyDescent="0.25">
      <c r="C13" s="122"/>
      <c r="D13" s="123"/>
      <c r="E13" s="123"/>
      <c r="F13" s="123"/>
      <c r="G13" s="51" t="s">
        <v>16</v>
      </c>
      <c r="H13" s="127">
        <f>+SUM(H10:H12)</f>
        <v>-3847000</v>
      </c>
      <c r="I13" s="127">
        <f>+SUM(I10:I12)</f>
        <v>6079844</v>
      </c>
      <c r="J13" s="127">
        <f t="shared" ref="J13" si="0">+SUM(J10:J12)</f>
        <v>9131488</v>
      </c>
      <c r="K13" s="122"/>
      <c r="L13" s="123"/>
      <c r="M13" s="123"/>
      <c r="N13" s="123"/>
      <c r="O13" s="124"/>
    </row>
    <row r="14" spans="3:15" x14ac:dyDescent="0.25">
      <c r="C14" s="122"/>
      <c r="D14" s="123"/>
      <c r="E14" s="123"/>
      <c r="F14" s="123"/>
      <c r="G14" s="123"/>
      <c r="H14" s="35"/>
      <c r="I14" s="35"/>
      <c r="J14" s="35"/>
      <c r="K14" s="123"/>
      <c r="L14" s="123"/>
      <c r="M14" s="123"/>
      <c r="N14" s="123"/>
      <c r="O14" s="124"/>
    </row>
    <row r="15" spans="3:15" x14ac:dyDescent="0.25"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4"/>
    </row>
    <row r="16" spans="3:15" x14ac:dyDescent="0.25">
      <c r="C16" s="122"/>
      <c r="D16" s="123"/>
      <c r="E16" s="123"/>
      <c r="F16" s="123"/>
      <c r="G16" s="14" t="s">
        <v>110</v>
      </c>
      <c r="H16" s="143">
        <f>IRR(H13:J13)</f>
        <v>1.5217052244602916</v>
      </c>
      <c r="I16" s="123"/>
      <c r="J16" s="123"/>
      <c r="K16" s="123"/>
      <c r="L16" s="123"/>
      <c r="M16" s="123"/>
      <c r="N16" s="123"/>
      <c r="O16" s="124"/>
    </row>
    <row r="17" spans="3:15" x14ac:dyDescent="0.25">
      <c r="C17" s="122"/>
      <c r="D17" s="123"/>
      <c r="E17" s="123"/>
      <c r="F17" s="123"/>
      <c r="G17" s="14"/>
      <c r="H17" s="128"/>
      <c r="I17" s="123"/>
      <c r="J17" s="125"/>
      <c r="K17" s="123"/>
      <c r="L17" s="123"/>
      <c r="M17" s="123"/>
      <c r="N17" s="123"/>
      <c r="O17" s="124"/>
    </row>
    <row r="18" spans="3:15" x14ac:dyDescent="0.25"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</row>
    <row r="19" spans="3:15" x14ac:dyDescent="0.25"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4"/>
    </row>
    <row r="20" spans="3:15" x14ac:dyDescent="0.25"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4"/>
    </row>
    <row r="21" spans="3:15" x14ac:dyDescent="0.25">
      <c r="C21" s="252" t="s">
        <v>17</v>
      </c>
      <c r="D21" s="253"/>
      <c r="E21" s="253"/>
      <c r="F21" s="253"/>
      <c r="G21" s="253"/>
      <c r="H21" s="254"/>
      <c r="I21" s="123"/>
      <c r="J21" s="252" t="s">
        <v>18</v>
      </c>
      <c r="K21" s="253"/>
      <c r="L21" s="253"/>
      <c r="M21" s="253"/>
      <c r="N21" s="253"/>
      <c r="O21" s="254"/>
    </row>
    <row r="22" spans="3:15" ht="16.5" x14ac:dyDescent="0.25">
      <c r="C22" s="129" t="s">
        <v>81</v>
      </c>
      <c r="D22" s="130">
        <f>+D47</f>
        <v>6620.7221032230664</v>
      </c>
      <c r="E22" s="123"/>
      <c r="F22" s="123"/>
      <c r="G22" s="123"/>
      <c r="H22" s="124"/>
      <c r="I22" s="123"/>
      <c r="J22" s="129" t="s">
        <v>81</v>
      </c>
      <c r="K22" s="130">
        <f>+K47</f>
        <v>2641.6888153003965</v>
      </c>
      <c r="L22" s="123"/>
      <c r="M22" s="123"/>
      <c r="N22" s="123"/>
      <c r="O22" s="124"/>
    </row>
    <row r="23" spans="3:15" ht="16.5" x14ac:dyDescent="0.25">
      <c r="C23" s="131" t="s">
        <v>82</v>
      </c>
      <c r="D23" s="132">
        <f>+D48</f>
        <v>11539918.625917805</v>
      </c>
      <c r="E23" s="123"/>
      <c r="F23" s="123"/>
      <c r="G23" s="123"/>
      <c r="H23" s="124"/>
      <c r="I23" s="123"/>
      <c r="J23" s="131" t="s">
        <v>82</v>
      </c>
      <c r="K23" s="132">
        <f>+K48</f>
        <v>4604463.6050685914</v>
      </c>
      <c r="L23" s="123"/>
      <c r="M23" s="123"/>
      <c r="N23" s="123"/>
      <c r="O23" s="124"/>
    </row>
    <row r="24" spans="3:15" x14ac:dyDescent="0.25">
      <c r="C24" s="122"/>
      <c r="D24" s="123"/>
      <c r="E24" s="123"/>
      <c r="F24" s="123"/>
      <c r="G24" s="123"/>
      <c r="H24" s="124"/>
      <c r="I24" s="123"/>
      <c r="J24" s="122"/>
      <c r="K24" s="123"/>
      <c r="L24" s="123"/>
      <c r="M24" s="123"/>
      <c r="N24" s="123"/>
      <c r="O24" s="124"/>
    </row>
    <row r="25" spans="3:15" x14ac:dyDescent="0.25">
      <c r="C25" s="122"/>
      <c r="D25" s="123"/>
      <c r="E25" s="123"/>
      <c r="F25" s="123"/>
      <c r="G25" s="123"/>
      <c r="H25" s="124"/>
      <c r="I25" s="123"/>
      <c r="J25" s="122"/>
      <c r="K25" s="123"/>
      <c r="L25" s="123"/>
      <c r="M25" s="123"/>
      <c r="N25" s="123"/>
      <c r="O25" s="124"/>
    </row>
    <row r="26" spans="3:15" x14ac:dyDescent="0.25">
      <c r="C26" s="122"/>
      <c r="D26" s="123"/>
      <c r="E26" s="123"/>
      <c r="F26" s="123"/>
      <c r="G26" s="123"/>
      <c r="H26" s="124"/>
      <c r="I26" s="123"/>
      <c r="J26" s="122"/>
      <c r="K26" s="123"/>
      <c r="L26" s="123"/>
      <c r="M26" s="123"/>
      <c r="N26" s="123"/>
      <c r="O26" s="124"/>
    </row>
    <row r="27" spans="3:15" x14ac:dyDescent="0.25">
      <c r="C27" s="122"/>
      <c r="D27" s="123"/>
      <c r="E27" s="123"/>
      <c r="F27" s="123"/>
      <c r="G27" s="123"/>
      <c r="H27" s="124"/>
      <c r="I27" s="123"/>
      <c r="J27" s="122"/>
      <c r="K27" s="123"/>
      <c r="L27" s="123"/>
      <c r="M27" s="123"/>
      <c r="N27" s="123"/>
      <c r="O27" s="124"/>
    </row>
    <row r="28" spans="3:15" x14ac:dyDescent="0.25">
      <c r="C28" s="122"/>
      <c r="D28" s="123"/>
      <c r="E28" s="123"/>
      <c r="F28" s="123"/>
      <c r="G28" s="123"/>
      <c r="H28" s="124"/>
      <c r="I28" s="123"/>
      <c r="J28" s="122"/>
      <c r="K28" s="123"/>
      <c r="L28" s="123"/>
      <c r="M28" s="123"/>
      <c r="N28" s="123"/>
      <c r="O28" s="124"/>
    </row>
    <row r="29" spans="3:15" x14ac:dyDescent="0.25">
      <c r="C29" s="122"/>
      <c r="D29" s="123"/>
      <c r="E29" s="123"/>
      <c r="F29" s="123"/>
      <c r="G29" s="123"/>
      <c r="H29" s="124"/>
      <c r="I29" s="123"/>
      <c r="J29" s="122"/>
      <c r="K29" s="123"/>
      <c r="L29" s="123"/>
      <c r="M29" s="123"/>
      <c r="N29" s="123"/>
      <c r="O29" s="124"/>
    </row>
    <row r="30" spans="3:15" x14ac:dyDescent="0.25">
      <c r="C30" s="122"/>
      <c r="D30" s="123"/>
      <c r="E30" s="123"/>
      <c r="F30" s="123"/>
      <c r="G30" s="123"/>
      <c r="H30" s="124"/>
      <c r="I30" s="123"/>
      <c r="J30" s="122"/>
      <c r="K30" s="123"/>
      <c r="L30" s="123"/>
      <c r="M30" s="123"/>
      <c r="N30" s="123"/>
      <c r="O30" s="124"/>
    </row>
    <row r="31" spans="3:15" x14ac:dyDescent="0.25">
      <c r="C31" s="122"/>
      <c r="D31" s="123"/>
      <c r="E31" s="123"/>
      <c r="F31" s="123"/>
      <c r="G31" s="123"/>
      <c r="H31" s="124"/>
      <c r="I31" s="123"/>
      <c r="J31" s="122"/>
      <c r="K31" s="123"/>
      <c r="L31" s="123"/>
      <c r="M31" s="123"/>
      <c r="N31" s="123"/>
      <c r="O31" s="124"/>
    </row>
    <row r="32" spans="3:15" x14ac:dyDescent="0.25">
      <c r="C32" s="122"/>
      <c r="D32" s="123"/>
      <c r="E32" s="123"/>
      <c r="F32" s="123"/>
      <c r="G32" s="123"/>
      <c r="H32" s="124"/>
      <c r="I32" s="123"/>
      <c r="J32" s="122"/>
      <c r="K32" s="123"/>
      <c r="L32" s="123"/>
      <c r="M32" s="123"/>
      <c r="N32" s="123"/>
      <c r="O32" s="124"/>
    </row>
    <row r="33" spans="3:15" x14ac:dyDescent="0.25">
      <c r="C33" s="122"/>
      <c r="D33" s="123"/>
      <c r="E33" s="123"/>
      <c r="F33" s="123"/>
      <c r="G33" s="123"/>
      <c r="H33" s="124"/>
      <c r="I33" s="123"/>
      <c r="J33" s="122"/>
      <c r="K33" s="123"/>
      <c r="L33" s="123"/>
      <c r="M33" s="123"/>
      <c r="N33" s="123"/>
      <c r="O33" s="124"/>
    </row>
    <row r="34" spans="3:15" x14ac:dyDescent="0.25">
      <c r="C34" s="122"/>
      <c r="D34" s="123"/>
      <c r="E34" s="123"/>
      <c r="F34" s="123"/>
      <c r="G34" s="123"/>
      <c r="H34" s="124"/>
      <c r="I34" s="123"/>
      <c r="J34" s="122"/>
      <c r="K34" s="123"/>
      <c r="L34" s="123"/>
      <c r="M34" s="123"/>
      <c r="N34" s="123"/>
      <c r="O34" s="124"/>
    </row>
    <row r="35" spans="3:15" x14ac:dyDescent="0.25">
      <c r="C35" s="122"/>
      <c r="D35" s="123"/>
      <c r="E35" s="123"/>
      <c r="F35" s="123"/>
      <c r="G35" s="123"/>
      <c r="H35" s="124"/>
      <c r="I35" s="123"/>
      <c r="J35" s="122"/>
      <c r="K35" s="123"/>
      <c r="L35" s="123"/>
      <c r="M35" s="123"/>
      <c r="N35" s="123"/>
      <c r="O35" s="124"/>
    </row>
    <row r="36" spans="3:15" x14ac:dyDescent="0.25">
      <c r="C36" s="122"/>
      <c r="D36" s="123"/>
      <c r="E36" s="123"/>
      <c r="F36" s="123"/>
      <c r="G36" s="123"/>
      <c r="H36" s="124"/>
      <c r="I36" s="123"/>
      <c r="J36" s="122"/>
      <c r="K36" s="123"/>
      <c r="L36" s="123"/>
      <c r="M36" s="123"/>
      <c r="N36" s="123"/>
      <c r="O36" s="124"/>
    </row>
    <row r="37" spans="3:15" x14ac:dyDescent="0.25">
      <c r="C37" s="122"/>
      <c r="D37" s="123"/>
      <c r="E37" s="123"/>
      <c r="F37" s="123"/>
      <c r="G37" s="123"/>
      <c r="H37" s="124"/>
      <c r="I37" s="123"/>
      <c r="J37" s="122"/>
      <c r="K37" s="123"/>
      <c r="L37" s="123"/>
      <c r="M37" s="123"/>
      <c r="N37" s="123"/>
      <c r="O37" s="124"/>
    </row>
    <row r="38" spans="3:15" x14ac:dyDescent="0.25">
      <c r="C38" s="122"/>
      <c r="D38" s="123"/>
      <c r="E38" s="123"/>
      <c r="F38" s="123"/>
      <c r="G38" s="123"/>
      <c r="H38" s="124"/>
      <c r="I38" s="123"/>
      <c r="J38" s="122"/>
      <c r="K38" s="123"/>
      <c r="L38" s="123"/>
      <c r="M38" s="123"/>
      <c r="N38" s="123"/>
      <c r="O38" s="124"/>
    </row>
    <row r="39" spans="3:15" x14ac:dyDescent="0.25">
      <c r="C39" s="122"/>
      <c r="D39" s="123"/>
      <c r="E39" s="123"/>
      <c r="F39" s="123"/>
      <c r="G39" s="123"/>
      <c r="H39" s="124"/>
      <c r="I39" s="123"/>
      <c r="J39" s="122"/>
      <c r="K39" s="123"/>
      <c r="L39" s="123"/>
      <c r="M39" s="123"/>
      <c r="N39" s="123"/>
      <c r="O39" s="124"/>
    </row>
    <row r="40" spans="3:15" x14ac:dyDescent="0.25">
      <c r="C40" s="122"/>
      <c r="D40" s="123"/>
      <c r="E40" s="123"/>
      <c r="F40" s="123"/>
      <c r="G40" s="123"/>
      <c r="H40" s="124"/>
      <c r="I40" s="123"/>
      <c r="J40" s="122"/>
      <c r="K40" s="123"/>
      <c r="L40" s="123"/>
      <c r="M40" s="123"/>
      <c r="N40" s="123"/>
      <c r="O40" s="124"/>
    </row>
    <row r="41" spans="3:15" x14ac:dyDescent="0.25">
      <c r="C41" s="122"/>
      <c r="D41" s="123"/>
      <c r="E41" s="123"/>
      <c r="F41" s="123"/>
      <c r="G41" s="123"/>
      <c r="H41" s="124"/>
      <c r="I41" s="123"/>
      <c r="J41" s="122"/>
      <c r="K41" s="123"/>
      <c r="L41" s="123"/>
      <c r="M41" s="123"/>
      <c r="N41" s="123"/>
      <c r="O41" s="124"/>
    </row>
    <row r="42" spans="3:15" x14ac:dyDescent="0.25">
      <c r="C42" s="122"/>
      <c r="D42" s="123"/>
      <c r="E42" s="123"/>
      <c r="F42" s="123"/>
      <c r="G42" s="123"/>
      <c r="H42" s="124"/>
      <c r="I42" s="123"/>
      <c r="J42" s="122"/>
      <c r="K42" s="123"/>
      <c r="L42" s="123"/>
      <c r="M42" s="123"/>
      <c r="N42" s="123"/>
      <c r="O42" s="124"/>
    </row>
    <row r="43" spans="3:15" x14ac:dyDescent="0.25">
      <c r="C43" s="42" t="s">
        <v>83</v>
      </c>
      <c r="D43" s="32">
        <f>+PRODUCTO!E9</f>
        <v>1743</v>
      </c>
      <c r="E43" s="123"/>
      <c r="F43" s="123"/>
      <c r="G43" s="123"/>
      <c r="H43" s="124"/>
      <c r="I43" s="123"/>
      <c r="J43" s="42" t="s">
        <v>83</v>
      </c>
      <c r="K43" s="32">
        <f>+PRODUCTO!E9</f>
        <v>1743</v>
      </c>
      <c r="L43" s="123"/>
      <c r="M43" s="123"/>
      <c r="N43" s="123"/>
      <c r="O43" s="124"/>
    </row>
    <row r="44" spans="3:15" x14ac:dyDescent="0.25">
      <c r="C44" s="42" t="s">
        <v>84</v>
      </c>
      <c r="D44" s="32">
        <f>+'GASTOS '!C20/PRODUCTO!D44</f>
        <v>193.34947145877379</v>
      </c>
      <c r="E44" s="123"/>
      <c r="F44" s="123"/>
      <c r="G44" s="123"/>
      <c r="H44" s="124"/>
      <c r="I44" s="123"/>
      <c r="J44" s="42" t="s">
        <v>84</v>
      </c>
      <c r="K44" s="32">
        <f>+'GASTOS '!D20/PRODUCTO!H37</f>
        <v>33.040624999999999</v>
      </c>
      <c r="L44" s="123"/>
      <c r="M44" s="123"/>
      <c r="N44" s="123"/>
      <c r="O44" s="124"/>
    </row>
    <row r="45" spans="3:15" x14ac:dyDescent="0.25">
      <c r="C45" s="42" t="s">
        <v>85</v>
      </c>
      <c r="D45" s="32">
        <f>+D43-D44</f>
        <v>1549.6505285412263</v>
      </c>
      <c r="E45" s="123"/>
      <c r="F45" s="123"/>
      <c r="G45" s="123"/>
      <c r="H45" s="124"/>
      <c r="I45" s="123"/>
      <c r="J45" s="42" t="s">
        <v>85</v>
      </c>
      <c r="K45" s="32">
        <f>+K43-K44</f>
        <v>1709.9593749999999</v>
      </c>
      <c r="L45" s="123"/>
      <c r="M45" s="123"/>
      <c r="N45" s="123"/>
      <c r="O45" s="124"/>
    </row>
    <row r="46" spans="3:15" x14ac:dyDescent="0.25">
      <c r="C46" s="42" t="s">
        <v>86</v>
      </c>
      <c r="D46" s="32">
        <f>+'GASTOS '!C24-'GASTOS '!C20+'ESTADOS FINANCIEROS '!G18</f>
        <v>10259805.506584205</v>
      </c>
      <c r="E46" s="123"/>
      <c r="F46" s="123"/>
      <c r="G46" s="123"/>
      <c r="H46" s="124"/>
      <c r="I46" s="123"/>
      <c r="J46" s="42" t="s">
        <v>86</v>
      </c>
      <c r="K46" s="32">
        <f>+'GASTOS '!D24-'GASTOS '!D20+'ESTADOS FINANCIEROS '!H18</f>
        <v>4517180.555555556</v>
      </c>
      <c r="L46" s="123"/>
      <c r="M46" s="123"/>
      <c r="N46" s="123"/>
      <c r="O46" s="124"/>
    </row>
    <row r="47" spans="3:15" x14ac:dyDescent="0.25">
      <c r="C47" s="42" t="s">
        <v>81</v>
      </c>
      <c r="D47" s="133">
        <f>+D46/D45</f>
        <v>6620.7221032230664</v>
      </c>
      <c r="E47" s="123"/>
      <c r="F47" s="123"/>
      <c r="G47" s="123"/>
      <c r="H47" s="124"/>
      <c r="I47" s="123"/>
      <c r="J47" s="42" t="s">
        <v>81</v>
      </c>
      <c r="K47" s="133">
        <f>+K46/K45</f>
        <v>2641.6888153003965</v>
      </c>
      <c r="L47" s="123"/>
      <c r="M47" s="123"/>
      <c r="N47" s="123"/>
      <c r="O47" s="124"/>
    </row>
    <row r="48" spans="3:15" x14ac:dyDescent="0.25">
      <c r="C48" s="42" t="s">
        <v>82</v>
      </c>
      <c r="D48" s="134">
        <f>+D47*D43</f>
        <v>11539918.625917805</v>
      </c>
      <c r="E48" s="123"/>
      <c r="F48" s="123"/>
      <c r="G48" s="123"/>
      <c r="H48" s="124"/>
      <c r="I48" s="123"/>
      <c r="J48" s="42" t="s">
        <v>82</v>
      </c>
      <c r="K48" s="134">
        <f>+K47*K43</f>
        <v>4604463.6050685914</v>
      </c>
      <c r="L48" s="123"/>
      <c r="M48" s="123"/>
      <c r="N48" s="123"/>
      <c r="O48" s="124"/>
    </row>
    <row r="49" spans="3:15" x14ac:dyDescent="0.25">
      <c r="C49" s="122"/>
      <c r="D49" s="123"/>
      <c r="E49" s="123"/>
      <c r="F49" s="123"/>
      <c r="G49" s="123"/>
      <c r="H49" s="124"/>
      <c r="I49" s="123"/>
      <c r="J49" s="122"/>
      <c r="K49" s="123"/>
      <c r="L49" s="123"/>
      <c r="M49" s="123"/>
      <c r="N49" s="123"/>
      <c r="O49" s="124"/>
    </row>
    <row r="50" spans="3:15" x14ac:dyDescent="0.25">
      <c r="C50" s="122"/>
      <c r="D50" s="123"/>
      <c r="E50" s="123"/>
      <c r="F50" s="123"/>
      <c r="G50" s="123"/>
      <c r="H50" s="124"/>
      <c r="I50" s="123"/>
      <c r="J50" s="122"/>
      <c r="K50" s="123"/>
      <c r="L50" s="123"/>
      <c r="M50" s="123"/>
      <c r="N50" s="123"/>
      <c r="O50" s="124"/>
    </row>
    <row r="51" spans="3:15" x14ac:dyDescent="0.25">
      <c r="C51" s="135" t="s">
        <v>87</v>
      </c>
      <c r="D51" s="136">
        <v>0</v>
      </c>
      <c r="E51" s="136">
        <f>+F51*0.5</f>
        <v>3310.3610516115332</v>
      </c>
      <c r="F51" s="136">
        <f>+D47</f>
        <v>6620.7221032230664</v>
      </c>
      <c r="G51" s="136">
        <f>+F51*1.5</f>
        <v>9931.0831548345996</v>
      </c>
      <c r="H51" s="124"/>
      <c r="I51" s="123"/>
      <c r="J51" s="135" t="s">
        <v>87</v>
      </c>
      <c r="K51" s="136">
        <v>0</v>
      </c>
      <c r="L51" s="136">
        <f>+M51*0.5</f>
        <v>1320.8444076501983</v>
      </c>
      <c r="M51" s="136">
        <f>+K47</f>
        <v>2641.6888153003965</v>
      </c>
      <c r="N51" s="136">
        <f>+M51*1.5</f>
        <v>3962.5332229505948</v>
      </c>
      <c r="O51" s="124"/>
    </row>
    <row r="52" spans="3:15" x14ac:dyDescent="0.25">
      <c r="C52" s="137" t="s">
        <v>88</v>
      </c>
      <c r="D52" s="138">
        <f>+D51*$D$43</f>
        <v>0</v>
      </c>
      <c r="E52" s="138">
        <f t="shared" ref="E52:G52" si="1">+E51*$D$43</f>
        <v>5769959.3129589027</v>
      </c>
      <c r="F52" s="138">
        <f t="shared" si="1"/>
        <v>11539918.625917805</v>
      </c>
      <c r="G52" s="138">
        <f t="shared" si="1"/>
        <v>17309877.938876707</v>
      </c>
      <c r="H52" s="124"/>
      <c r="I52" s="123"/>
      <c r="J52" s="137" t="s">
        <v>88</v>
      </c>
      <c r="K52" s="138">
        <f>+K51*$K$43</f>
        <v>0</v>
      </c>
      <c r="L52" s="138">
        <f t="shared" ref="L52:M52" si="2">+L51*$K$43</f>
        <v>2302231.8025342957</v>
      </c>
      <c r="M52" s="138">
        <f t="shared" si="2"/>
        <v>4604463.6050685914</v>
      </c>
      <c r="N52" s="138">
        <f>+N51*$K$43</f>
        <v>6906695.4076028867</v>
      </c>
      <c r="O52" s="124"/>
    </row>
    <row r="53" spans="3:15" x14ac:dyDescent="0.25">
      <c r="C53" s="137" t="s">
        <v>89</v>
      </c>
      <c r="D53" s="138">
        <f>+$D$46+D51*$D$44</f>
        <v>10259805.506584205</v>
      </c>
      <c r="E53" s="138">
        <f t="shared" ref="E53:G53" si="3">+$D$46+E51*$D$44</f>
        <v>10899862.066251006</v>
      </c>
      <c r="F53" s="138">
        <f t="shared" si="3"/>
        <v>11539918.625917805</v>
      </c>
      <c r="G53" s="138">
        <f t="shared" si="3"/>
        <v>12179975.185584607</v>
      </c>
      <c r="H53" s="124"/>
      <c r="I53" s="123"/>
      <c r="J53" s="137" t="s">
        <v>89</v>
      </c>
      <c r="K53" s="138">
        <f>+$K$46+K51*$K$44</f>
        <v>4517180.555555556</v>
      </c>
      <c r="L53" s="138">
        <f t="shared" ref="L53:N53" si="4">+$K$46+L51*$K$44</f>
        <v>4560822.0803120732</v>
      </c>
      <c r="M53" s="138">
        <f t="shared" si="4"/>
        <v>4604463.6050685905</v>
      </c>
      <c r="N53" s="138">
        <f t="shared" si="4"/>
        <v>4648105.1298251078</v>
      </c>
      <c r="O53" s="124"/>
    </row>
    <row r="54" spans="3:15" x14ac:dyDescent="0.25">
      <c r="C54" s="137" t="s">
        <v>86</v>
      </c>
      <c r="D54" s="138">
        <f>+D46</f>
        <v>10259805.506584205</v>
      </c>
      <c r="E54" s="138">
        <f>+D54</f>
        <v>10259805.506584205</v>
      </c>
      <c r="F54" s="138">
        <f>+E54</f>
        <v>10259805.506584205</v>
      </c>
      <c r="G54" s="138">
        <f>+F54</f>
        <v>10259805.506584205</v>
      </c>
      <c r="H54" s="124"/>
      <c r="I54" s="123"/>
      <c r="J54" s="137" t="s">
        <v>86</v>
      </c>
      <c r="K54" s="138">
        <f>+K46</f>
        <v>4517180.555555556</v>
      </c>
      <c r="L54" s="138">
        <f>+K54</f>
        <v>4517180.555555556</v>
      </c>
      <c r="M54" s="138">
        <f>+L54</f>
        <v>4517180.555555556</v>
      </c>
      <c r="N54" s="138">
        <f>+M54</f>
        <v>4517180.555555556</v>
      </c>
      <c r="O54" s="124"/>
    </row>
    <row r="55" spans="3:15" x14ac:dyDescent="0.25">
      <c r="C55" s="139"/>
      <c r="D55" s="140"/>
      <c r="E55" s="140"/>
      <c r="F55" s="140"/>
      <c r="G55" s="140"/>
      <c r="H55" s="141"/>
      <c r="I55" s="123"/>
      <c r="J55" s="139"/>
      <c r="K55" s="140"/>
      <c r="L55" s="140"/>
      <c r="M55" s="140"/>
      <c r="N55" s="140"/>
      <c r="O55" s="141"/>
    </row>
    <row r="56" spans="3:15" x14ac:dyDescent="0.25"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4"/>
    </row>
    <row r="57" spans="3:15" x14ac:dyDescent="0.25"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/>
    </row>
    <row r="58" spans="3:15" x14ac:dyDescent="0.25">
      <c r="C58" s="139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1"/>
    </row>
  </sheetData>
  <mergeCells count="3">
    <mergeCell ref="C21:H21"/>
    <mergeCell ref="J21:O21"/>
    <mergeCell ref="C2:O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75" zoomScaleNormal="75" workbookViewId="0">
      <selection activeCell="E25" sqref="E25"/>
    </sheetView>
  </sheetViews>
  <sheetFormatPr baseColWidth="10" defaultRowHeight="15.75" x14ac:dyDescent="0.25"/>
  <cols>
    <col min="1" max="1" width="11.375" style="3"/>
    <col min="2" max="2" width="11.375" style="142"/>
    <col min="3" max="3" width="119" style="144" bestFit="1" customWidth="1"/>
    <col min="4" max="4" width="19.25" style="144" customWidth="1"/>
    <col min="5" max="5" width="16.125" style="144" customWidth="1"/>
    <col min="6" max="6" width="14" style="144" bestFit="1" customWidth="1"/>
    <col min="7" max="7" width="21.625" style="144" customWidth="1"/>
    <col min="8" max="8" width="11.375" style="142"/>
    <col min="9" max="9" width="104.875" style="142" bestFit="1" customWidth="1"/>
    <col min="10" max="10" width="48.25" style="142" customWidth="1"/>
    <col min="11" max="11" width="26.75" style="142" customWidth="1"/>
    <col min="12" max="12" width="11.375" style="142"/>
    <col min="13" max="13" width="21.625" style="142" customWidth="1"/>
    <col min="14" max="14" width="11.375" style="142"/>
  </cols>
  <sheetData>
    <row r="1" spans="2:14" s="3" customFormat="1" x14ac:dyDescent="0.25">
      <c r="B1" s="142"/>
      <c r="C1" s="144"/>
      <c r="D1" s="144"/>
      <c r="E1" s="144"/>
      <c r="F1" s="144"/>
      <c r="G1" s="144"/>
      <c r="H1" s="142"/>
      <c r="I1" s="142"/>
      <c r="J1" s="142"/>
      <c r="K1" s="142"/>
      <c r="L1" s="142"/>
      <c r="M1" s="142"/>
      <c r="N1" s="142"/>
    </row>
    <row r="2" spans="2:14" s="3" customFormat="1" x14ac:dyDescent="0.25">
      <c r="B2" s="142"/>
      <c r="C2" s="144"/>
      <c r="D2" s="144"/>
      <c r="E2" s="144"/>
      <c r="F2" s="144"/>
      <c r="G2" s="144"/>
      <c r="H2" s="142"/>
      <c r="I2" s="142"/>
      <c r="J2" s="142"/>
      <c r="K2" s="142"/>
      <c r="L2" s="142"/>
      <c r="M2" s="142"/>
      <c r="N2" s="142"/>
    </row>
    <row r="3" spans="2:14" s="3" customFormat="1" ht="26.25" x14ac:dyDescent="0.25">
      <c r="B3" s="214" t="s">
        <v>223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</row>
    <row r="4" spans="2:14" s="3" customFormat="1" x14ac:dyDescent="0.25">
      <c r="B4" s="122"/>
      <c r="C4" s="19"/>
      <c r="D4" s="19"/>
      <c r="E4" s="19"/>
      <c r="F4" s="19"/>
      <c r="G4" s="19"/>
      <c r="H4" s="123"/>
      <c r="I4" s="123"/>
      <c r="J4" s="123"/>
      <c r="K4" s="123"/>
      <c r="L4" s="123"/>
      <c r="M4" s="123"/>
      <c r="N4" s="124"/>
    </row>
    <row r="5" spans="2:14" x14ac:dyDescent="0.25">
      <c r="B5" s="122"/>
      <c r="C5" s="19"/>
      <c r="D5" s="19"/>
      <c r="E5" s="19"/>
      <c r="F5" s="19"/>
      <c r="G5" s="19"/>
      <c r="H5" s="123"/>
      <c r="I5" s="123"/>
      <c r="J5" s="123"/>
      <c r="K5" s="123"/>
      <c r="L5" s="123"/>
      <c r="M5" s="123"/>
      <c r="N5" s="124"/>
    </row>
    <row r="6" spans="2:14" x14ac:dyDescent="0.25">
      <c r="B6" s="122"/>
      <c r="C6" s="259" t="s">
        <v>211</v>
      </c>
      <c r="D6" s="260"/>
      <c r="E6" s="260"/>
      <c r="F6" s="260"/>
      <c r="G6" s="261"/>
      <c r="H6" s="123"/>
      <c r="I6" s="265" t="s">
        <v>212</v>
      </c>
      <c r="J6" s="260"/>
      <c r="K6" s="260"/>
      <c r="L6" s="260"/>
      <c r="M6" s="261"/>
      <c r="N6" s="124"/>
    </row>
    <row r="7" spans="2:14" ht="16.5" thickBot="1" x14ac:dyDescent="0.3">
      <c r="B7" s="122"/>
      <c r="C7" s="258" t="s">
        <v>177</v>
      </c>
      <c r="D7" s="156" t="s">
        <v>178</v>
      </c>
      <c r="E7" s="157">
        <f>+'ESTADOS FINANCIEROS '!G108</f>
        <v>9803080.7952438723</v>
      </c>
      <c r="F7" s="158"/>
      <c r="G7" s="159"/>
      <c r="H7" s="123"/>
      <c r="I7" s="262" t="s">
        <v>177</v>
      </c>
      <c r="J7" s="19" t="s">
        <v>178</v>
      </c>
      <c r="K7" s="145">
        <f>+'ESTADOS FINANCIEROS '!H108</f>
        <v>18255053.826749124</v>
      </c>
      <c r="L7" s="146"/>
      <c r="M7" s="20"/>
      <c r="N7" s="124"/>
    </row>
    <row r="8" spans="2:14" ht="16.5" thickTop="1" x14ac:dyDescent="0.25">
      <c r="B8" s="122"/>
      <c r="C8" s="258"/>
      <c r="D8" s="148" t="s">
        <v>179</v>
      </c>
      <c r="E8" s="147">
        <f>+'ESTADOS FINANCIEROS '!G120</f>
        <v>0</v>
      </c>
      <c r="F8" s="146"/>
      <c r="G8" s="20"/>
      <c r="H8" s="123"/>
      <c r="I8" s="262"/>
      <c r="J8" s="19" t="s">
        <v>179</v>
      </c>
      <c r="K8" s="147">
        <f>+'ESTADOS FINANCIEROS '!H120</f>
        <v>0</v>
      </c>
      <c r="L8" s="146"/>
      <c r="M8" s="20"/>
      <c r="N8" s="124"/>
    </row>
    <row r="9" spans="2:14" ht="16.5" thickBot="1" x14ac:dyDescent="0.3">
      <c r="B9" s="122"/>
      <c r="C9" s="258"/>
      <c r="D9" s="148"/>
      <c r="E9" s="147"/>
      <c r="F9" s="146"/>
      <c r="G9" s="20"/>
      <c r="H9" s="123"/>
      <c r="I9" s="262"/>
      <c r="J9" s="19"/>
      <c r="K9" s="147"/>
      <c r="L9" s="146"/>
      <c r="M9" s="20"/>
      <c r="N9" s="124"/>
    </row>
    <row r="10" spans="2:14" ht="16.5" thickBot="1" x14ac:dyDescent="0.3">
      <c r="B10" s="122"/>
      <c r="C10" s="188" t="s">
        <v>180</v>
      </c>
      <c r="D10" s="148"/>
      <c r="E10" s="147"/>
      <c r="F10" s="153"/>
      <c r="G10" s="164" t="e">
        <f>+E7/E8</f>
        <v>#DIV/0!</v>
      </c>
      <c r="H10" s="123"/>
      <c r="I10" s="188" t="s">
        <v>180</v>
      </c>
      <c r="J10" s="151"/>
      <c r="K10" s="152"/>
      <c r="L10" s="153"/>
      <c r="M10" s="164" t="e">
        <f>+K7/K8</f>
        <v>#DIV/0!</v>
      </c>
      <c r="N10" s="124"/>
    </row>
    <row r="11" spans="2:14" ht="16.5" thickBot="1" x14ac:dyDescent="0.3">
      <c r="B11" s="122"/>
      <c r="C11" s="262" t="s">
        <v>181</v>
      </c>
      <c r="D11" s="196" t="s">
        <v>182</v>
      </c>
      <c r="E11" s="197">
        <f>+'ESTADOS FINANCIEROS '!G114</f>
        <v>12411247.461910538</v>
      </c>
      <c r="F11" s="189"/>
      <c r="G11" s="190"/>
      <c r="H11" s="123"/>
      <c r="I11" s="262" t="s">
        <v>181</v>
      </c>
      <c r="J11" s="163" t="s">
        <v>182</v>
      </c>
      <c r="K11" s="157">
        <f>+'ESTADOS FINANCIEROS '!H114</f>
        <v>20347039.937860236</v>
      </c>
      <c r="L11" s="158"/>
      <c r="M11" s="159"/>
      <c r="N11" s="124"/>
    </row>
    <row r="12" spans="2:14" ht="16.5" thickTop="1" x14ac:dyDescent="0.25">
      <c r="B12" s="122"/>
      <c r="C12" s="262"/>
      <c r="D12" s="19" t="s">
        <v>183</v>
      </c>
      <c r="E12" s="198">
        <f>+'ESTADOS FINANCIEROS '!G125</f>
        <v>0</v>
      </c>
      <c r="F12" s="191"/>
      <c r="G12" s="192"/>
      <c r="H12" s="123"/>
      <c r="I12" s="262"/>
      <c r="J12" s="19" t="s">
        <v>183</v>
      </c>
      <c r="K12" s="147">
        <f>+'ESTADOS FINANCIEROS '!H125</f>
        <v>0</v>
      </c>
      <c r="L12" s="146"/>
      <c r="M12" s="20"/>
      <c r="N12" s="124"/>
    </row>
    <row r="13" spans="2:14" ht="16.5" thickBot="1" x14ac:dyDescent="0.3">
      <c r="B13" s="122"/>
      <c r="C13" s="263"/>
      <c r="D13" s="19"/>
      <c r="E13" s="199"/>
      <c r="F13" s="191"/>
      <c r="G13" s="192"/>
      <c r="H13" s="123"/>
      <c r="I13" s="262"/>
      <c r="J13" s="19"/>
      <c r="K13" s="147"/>
      <c r="L13" s="146"/>
      <c r="M13" s="20"/>
      <c r="N13" s="124"/>
    </row>
    <row r="14" spans="2:14" ht="16.5" thickBot="1" x14ac:dyDescent="0.3">
      <c r="B14" s="122"/>
      <c r="C14" s="266" t="s">
        <v>184</v>
      </c>
      <c r="D14" s="266"/>
      <c r="E14" s="266"/>
      <c r="F14" s="266"/>
      <c r="G14" s="200" t="e">
        <f>+E11/E12</f>
        <v>#DIV/0!</v>
      </c>
      <c r="H14" s="123"/>
      <c r="I14" s="266" t="s">
        <v>184</v>
      </c>
      <c r="J14" s="266"/>
      <c r="K14" s="266"/>
      <c r="L14" s="266"/>
      <c r="M14" s="164" t="e">
        <f>+K11/K12</f>
        <v>#DIV/0!</v>
      </c>
      <c r="N14" s="124"/>
    </row>
    <row r="15" spans="2:14" ht="16.5" thickBot="1" x14ac:dyDescent="0.3">
      <c r="B15" s="122"/>
      <c r="C15" s="264" t="s">
        <v>185</v>
      </c>
      <c r="D15" s="148" t="s">
        <v>183</v>
      </c>
      <c r="E15" s="145">
        <f>+'ESTADOS FINANCIEROS '!G125</f>
        <v>0</v>
      </c>
      <c r="F15" s="146"/>
      <c r="G15" s="20"/>
      <c r="H15" s="123"/>
      <c r="I15" s="262" t="s">
        <v>185</v>
      </c>
      <c r="J15" s="163" t="s">
        <v>183</v>
      </c>
      <c r="K15" s="157">
        <f>+'ESTADOS FINANCIEROS '!H125</f>
        <v>0</v>
      </c>
      <c r="L15" s="158"/>
      <c r="M15" s="159"/>
      <c r="N15" s="124"/>
    </row>
    <row r="16" spans="2:14" ht="16.5" thickTop="1" x14ac:dyDescent="0.25">
      <c r="B16" s="122"/>
      <c r="C16" s="258"/>
      <c r="D16" s="148" t="s">
        <v>182</v>
      </c>
      <c r="E16" s="147">
        <f>+'ESTADOS FINANCIEROS '!G114</f>
        <v>12411247.461910538</v>
      </c>
      <c r="F16" s="146"/>
      <c r="G16" s="20"/>
      <c r="H16" s="123"/>
      <c r="I16" s="262"/>
      <c r="J16" s="19" t="s">
        <v>182</v>
      </c>
      <c r="K16" s="147">
        <f>+'ESTADOS FINANCIEROS '!H114</f>
        <v>20347039.937860236</v>
      </c>
      <c r="L16" s="146"/>
      <c r="M16" s="20"/>
      <c r="N16" s="124"/>
    </row>
    <row r="17" spans="2:14" ht="16.5" thickBot="1" x14ac:dyDescent="0.3">
      <c r="B17" s="122"/>
      <c r="C17" s="258"/>
      <c r="D17" s="148"/>
      <c r="E17" s="147"/>
      <c r="F17" s="146"/>
      <c r="G17" s="20"/>
      <c r="H17" s="123"/>
      <c r="I17" s="262"/>
      <c r="J17" s="19"/>
      <c r="K17" s="147"/>
      <c r="L17" s="146"/>
      <c r="M17" s="20"/>
      <c r="N17" s="124"/>
    </row>
    <row r="18" spans="2:14" x14ac:dyDescent="0.25">
      <c r="B18" s="122"/>
      <c r="C18" s="201" t="s">
        <v>225</v>
      </c>
      <c r="D18" s="150"/>
      <c r="E18" s="152"/>
      <c r="F18" s="153"/>
      <c r="G18" s="162">
        <f>+E15/E16</f>
        <v>0</v>
      </c>
      <c r="H18" s="123"/>
      <c r="I18" s="201" t="s">
        <v>225</v>
      </c>
      <c r="J18" s="151"/>
      <c r="K18" s="152"/>
      <c r="L18" s="153"/>
      <c r="M18" s="162">
        <f>+K15/K16</f>
        <v>0</v>
      </c>
      <c r="N18" s="124"/>
    </row>
    <row r="19" spans="2:14" ht="16.5" thickBot="1" x14ac:dyDescent="0.3">
      <c r="B19" s="122"/>
      <c r="C19" s="262" t="s">
        <v>186</v>
      </c>
      <c r="D19" s="163" t="s">
        <v>187</v>
      </c>
      <c r="E19" s="157">
        <f>+'ESTADOS FINANCIEROS '!G132</f>
        <v>12411247.461910544</v>
      </c>
      <c r="F19" s="158"/>
      <c r="G19" s="159"/>
      <c r="H19" s="123"/>
      <c r="I19" s="262" t="s">
        <v>186</v>
      </c>
      <c r="J19" s="163" t="s">
        <v>187</v>
      </c>
      <c r="K19" s="157">
        <f>+'ESTADOS FINANCIEROS '!H132</f>
        <v>20347039.937860239</v>
      </c>
      <c r="L19" s="158"/>
      <c r="M19" s="159"/>
      <c r="N19" s="124"/>
    </row>
    <row r="20" spans="2:14" ht="16.5" thickTop="1" x14ac:dyDescent="0.25">
      <c r="B20" s="122"/>
      <c r="C20" s="262"/>
      <c r="D20" s="19" t="s">
        <v>182</v>
      </c>
      <c r="E20" s="147">
        <f>+'ESTADOS FINANCIEROS '!G114</f>
        <v>12411247.461910538</v>
      </c>
      <c r="F20" s="146"/>
      <c r="G20" s="20"/>
      <c r="H20" s="123"/>
      <c r="I20" s="262"/>
      <c r="J20" s="19" t="s">
        <v>182</v>
      </c>
      <c r="K20" s="147">
        <f>+'ESTADOS FINANCIEROS '!H114</f>
        <v>20347039.937860236</v>
      </c>
      <c r="L20" s="146"/>
      <c r="M20" s="20"/>
      <c r="N20" s="124"/>
    </row>
    <row r="21" spans="2:14" ht="16.5" thickBot="1" x14ac:dyDescent="0.3">
      <c r="B21" s="122"/>
      <c r="C21" s="262"/>
      <c r="D21" s="19"/>
      <c r="E21" s="147"/>
      <c r="F21" s="146"/>
      <c r="G21" s="20"/>
      <c r="H21" s="123"/>
      <c r="I21" s="262"/>
      <c r="J21" s="19"/>
      <c r="K21" s="147"/>
      <c r="L21" s="146"/>
      <c r="M21" s="20"/>
      <c r="N21" s="124"/>
    </row>
    <row r="22" spans="2:14" x14ac:dyDescent="0.25">
      <c r="B22" s="122"/>
      <c r="C22" s="194" t="s">
        <v>226</v>
      </c>
      <c r="D22" s="195"/>
      <c r="E22" s="152"/>
      <c r="F22" s="153"/>
      <c r="G22" s="162">
        <f>+E19/E20</f>
        <v>1.0000000000000004</v>
      </c>
      <c r="H22" s="123"/>
      <c r="I22" s="269" t="s">
        <v>226</v>
      </c>
      <c r="J22" s="270"/>
      <c r="K22" s="152"/>
      <c r="L22" s="153"/>
      <c r="M22" s="162">
        <f>+K19/K20</f>
        <v>1.0000000000000002</v>
      </c>
      <c r="N22" s="124"/>
    </row>
    <row r="23" spans="2:14" ht="16.5" thickBot="1" x14ac:dyDescent="0.3">
      <c r="B23" s="122"/>
      <c r="C23" s="258" t="s">
        <v>206</v>
      </c>
      <c r="D23" s="156" t="s">
        <v>188</v>
      </c>
      <c r="E23" s="157">
        <f>+'ESTADOS FINANCIEROS '!G125</f>
        <v>0</v>
      </c>
      <c r="F23" s="158"/>
      <c r="G23" s="159"/>
      <c r="H23" s="123"/>
      <c r="I23" s="262" t="s">
        <v>206</v>
      </c>
      <c r="J23" s="163" t="s">
        <v>188</v>
      </c>
      <c r="K23" s="157">
        <f>+'ESTADOS FINANCIEROS '!H125</f>
        <v>0</v>
      </c>
      <c r="L23" s="158"/>
      <c r="M23" s="159"/>
      <c r="N23" s="124"/>
    </row>
    <row r="24" spans="2:14" ht="17.25" thickTop="1" thickBot="1" x14ac:dyDescent="0.3">
      <c r="B24" s="122"/>
      <c r="C24" s="258"/>
      <c r="D24" s="148" t="s">
        <v>189</v>
      </c>
      <c r="E24" s="147">
        <f>+'ESTADOS FINANCIEROS '!G128</f>
        <v>7331844</v>
      </c>
      <c r="F24" s="146"/>
      <c r="G24" s="20"/>
      <c r="H24" s="123"/>
      <c r="I24" s="262"/>
      <c r="J24" s="19" t="s">
        <v>189</v>
      </c>
      <c r="K24" s="147">
        <f>+'ESTADOS FINANCIEROS '!H128</f>
        <v>7331844</v>
      </c>
      <c r="L24" s="146"/>
      <c r="M24" s="20"/>
      <c r="N24" s="124"/>
    </row>
    <row r="25" spans="2:14" x14ac:dyDescent="0.25">
      <c r="B25" s="122"/>
      <c r="C25" s="148" t="s">
        <v>227</v>
      </c>
      <c r="D25" s="150"/>
      <c r="E25" s="151"/>
      <c r="F25" s="153"/>
      <c r="G25" s="162">
        <f>+E23/E24</f>
        <v>0</v>
      </c>
      <c r="H25" s="123"/>
      <c r="I25" s="148" t="s">
        <v>227</v>
      </c>
      <c r="J25" s="151"/>
      <c r="K25" s="151"/>
      <c r="L25" s="153"/>
      <c r="M25" s="162">
        <f>+K23/K24</f>
        <v>0</v>
      </c>
      <c r="N25" s="124"/>
    </row>
    <row r="26" spans="2:14" ht="16.5" thickBot="1" x14ac:dyDescent="0.3">
      <c r="B26" s="122"/>
      <c r="C26" s="262" t="s">
        <v>190</v>
      </c>
      <c r="D26" s="19" t="s">
        <v>191</v>
      </c>
      <c r="E26" s="145">
        <f>+'ESTADOS FINANCIEROS '!G20</f>
        <v>5079403.461910544</v>
      </c>
      <c r="F26" s="146"/>
      <c r="G26" s="20"/>
      <c r="H26" s="123"/>
      <c r="I26" s="268" t="s">
        <v>190</v>
      </c>
      <c r="J26" s="19" t="s">
        <v>191</v>
      </c>
      <c r="K26" s="145">
        <f>+'ESTADOS FINANCIEROS '!H20</f>
        <v>7935792.4759496953</v>
      </c>
      <c r="L26" s="146"/>
      <c r="M26" s="20"/>
      <c r="N26" s="124"/>
    </row>
    <row r="27" spans="2:14" ht="17.25" thickTop="1" thickBot="1" x14ac:dyDescent="0.3">
      <c r="B27" s="122"/>
      <c r="C27" s="262"/>
      <c r="D27" s="19" t="s">
        <v>192</v>
      </c>
      <c r="E27" s="147">
        <f>+'ESTADOS FINANCIEROS '!G8</f>
        <v>16488780</v>
      </c>
      <c r="F27" s="146"/>
      <c r="G27" s="20"/>
      <c r="H27" s="123"/>
      <c r="I27" s="262"/>
      <c r="J27" s="19" t="s">
        <v>192</v>
      </c>
      <c r="K27" s="147">
        <f>+'ESTADOS FINANCIEROS '!H8</f>
        <v>13386240</v>
      </c>
      <c r="L27" s="146"/>
      <c r="M27" s="20"/>
      <c r="N27" s="124"/>
    </row>
    <row r="28" spans="2:14" x14ac:dyDescent="0.25">
      <c r="B28" s="122"/>
      <c r="C28" s="201" t="s">
        <v>224</v>
      </c>
      <c r="D28" s="19"/>
      <c r="E28" s="147"/>
      <c r="F28" s="146"/>
      <c r="G28" s="149">
        <f>+E26/E27</f>
        <v>0.30805210948963746</v>
      </c>
      <c r="H28" s="123"/>
      <c r="I28" s="201" t="s">
        <v>224</v>
      </c>
      <c r="J28" s="151"/>
      <c r="K28" s="152"/>
      <c r="L28" s="153"/>
      <c r="M28" s="160">
        <f>+K26/K27</f>
        <v>0.59283207801068072</v>
      </c>
      <c r="N28" s="124"/>
    </row>
    <row r="29" spans="2:14" x14ac:dyDescent="0.25">
      <c r="B29" s="122"/>
      <c r="C29" s="258" t="s">
        <v>193</v>
      </c>
      <c r="D29" s="156" t="s">
        <v>194</v>
      </c>
      <c r="E29" s="161">
        <f>+'ESTADOS FINANCIEROS '!G23</f>
        <v>5079403.461910544</v>
      </c>
      <c r="F29" s="158"/>
      <c r="G29" s="159"/>
      <c r="H29" s="123"/>
      <c r="I29" s="262" t="s">
        <v>193</v>
      </c>
      <c r="J29" s="163" t="s">
        <v>194</v>
      </c>
      <c r="K29" s="161">
        <f>+'ESTADOS FINANCIEROS '!H20</f>
        <v>7935792.4759496953</v>
      </c>
      <c r="L29" s="158"/>
      <c r="M29" s="159"/>
      <c r="N29" s="124"/>
    </row>
    <row r="30" spans="2:14" x14ac:dyDescent="0.25">
      <c r="B30" s="122"/>
      <c r="C30" s="258"/>
      <c r="D30" s="148" t="s">
        <v>195</v>
      </c>
      <c r="E30" s="147">
        <f>+'ESTADOS FINANCIEROS '!G132</f>
        <v>12411247.461910544</v>
      </c>
      <c r="F30" s="146"/>
      <c r="G30" s="20"/>
      <c r="H30" s="123"/>
      <c r="I30" s="262"/>
      <c r="J30" s="19" t="s">
        <v>195</v>
      </c>
      <c r="K30" s="147">
        <f>+'ESTADOS FINANCIEROS '!H132</f>
        <v>20347039.937860239</v>
      </c>
      <c r="L30" s="146"/>
      <c r="M30" s="20"/>
      <c r="N30" s="124"/>
    </row>
    <row r="31" spans="2:14" ht="16.5" thickBot="1" x14ac:dyDescent="0.3">
      <c r="B31" s="122"/>
      <c r="C31" s="258"/>
      <c r="D31" s="148"/>
      <c r="E31" s="147"/>
      <c r="F31" s="146"/>
      <c r="G31" s="20"/>
      <c r="H31" s="123"/>
      <c r="I31" s="262"/>
      <c r="J31" s="19"/>
      <c r="K31" s="147"/>
      <c r="L31" s="146"/>
      <c r="M31" s="20"/>
      <c r="N31" s="124"/>
    </row>
    <row r="32" spans="2:14" x14ac:dyDescent="0.25">
      <c r="B32" s="122"/>
      <c r="C32" s="201" t="s">
        <v>228</v>
      </c>
      <c r="D32" s="150"/>
      <c r="E32" s="152"/>
      <c r="F32" s="153"/>
      <c r="G32" s="160">
        <f>+E29/E30</f>
        <v>0.40925809250834472</v>
      </c>
      <c r="H32" s="123"/>
      <c r="I32" s="201" t="s">
        <v>228</v>
      </c>
      <c r="J32" s="151"/>
      <c r="K32" s="152"/>
      <c r="L32" s="153"/>
      <c r="M32" s="160">
        <f>+K29/K30</f>
        <v>0.39002196389182736</v>
      </c>
      <c r="N32" s="124"/>
    </row>
    <row r="33" spans="2:14" ht="16.5" thickBot="1" x14ac:dyDescent="0.3">
      <c r="B33" s="122"/>
      <c r="C33" s="258" t="s">
        <v>196</v>
      </c>
      <c r="D33" s="156" t="s">
        <v>194</v>
      </c>
      <c r="E33" s="157">
        <f>+'ESTADOS FINANCIEROS '!G23</f>
        <v>5079403.461910544</v>
      </c>
      <c r="F33" s="158"/>
      <c r="G33" s="159"/>
      <c r="H33" s="123"/>
      <c r="I33" s="262" t="s">
        <v>196</v>
      </c>
      <c r="J33" s="163" t="s">
        <v>194</v>
      </c>
      <c r="K33" s="157">
        <f>+'ESTADOS FINANCIEROS '!H20</f>
        <v>7935792.4759496953</v>
      </c>
      <c r="L33" s="158"/>
      <c r="M33" s="159"/>
      <c r="N33" s="124"/>
    </row>
    <row r="34" spans="2:14" ht="16.5" thickTop="1" x14ac:dyDescent="0.25">
      <c r="B34" s="122"/>
      <c r="C34" s="258"/>
      <c r="D34" s="148" t="s">
        <v>197</v>
      </c>
      <c r="E34" s="147">
        <f>+'ESTADOS FINANCIEROS '!G114</f>
        <v>12411247.461910538</v>
      </c>
      <c r="F34" s="146"/>
      <c r="G34" s="20"/>
      <c r="H34" s="123"/>
      <c r="I34" s="262"/>
      <c r="J34" s="19" t="s">
        <v>197</v>
      </c>
      <c r="K34" s="147">
        <f>+'ESTADOS FINANCIEROS '!H114</f>
        <v>20347039.937860236</v>
      </c>
      <c r="L34" s="146"/>
      <c r="M34" s="20"/>
      <c r="N34" s="124"/>
    </row>
    <row r="35" spans="2:14" ht="16.5" thickBot="1" x14ac:dyDescent="0.3">
      <c r="B35" s="122"/>
      <c r="C35" s="258"/>
      <c r="D35" s="148"/>
      <c r="E35" s="147"/>
      <c r="F35" s="146"/>
      <c r="G35" s="20"/>
      <c r="H35" s="123"/>
      <c r="I35" s="262"/>
      <c r="J35" s="19"/>
      <c r="K35" s="147"/>
      <c r="L35" s="146"/>
      <c r="M35" s="20"/>
      <c r="N35" s="124"/>
    </row>
    <row r="36" spans="2:14" x14ac:dyDescent="0.25">
      <c r="B36" s="122"/>
      <c r="C36" s="148" t="s">
        <v>230</v>
      </c>
      <c r="D36" s="150"/>
      <c r="E36" s="152"/>
      <c r="F36" s="153"/>
      <c r="G36" s="160">
        <f>+E33/E34</f>
        <v>0.40925809250834488</v>
      </c>
      <c r="H36" s="123"/>
      <c r="I36" s="148" t="s">
        <v>230</v>
      </c>
      <c r="J36" s="151"/>
      <c r="K36" s="152"/>
      <c r="L36" s="153"/>
      <c r="M36" s="160">
        <f>+K33/K34</f>
        <v>0.39002196389182742</v>
      </c>
      <c r="N36" s="124"/>
    </row>
    <row r="37" spans="2:14" ht="16.5" thickBot="1" x14ac:dyDescent="0.3">
      <c r="B37" s="122"/>
      <c r="C37" s="258" t="s">
        <v>198</v>
      </c>
      <c r="D37" s="156" t="s">
        <v>208</v>
      </c>
      <c r="E37" s="157">
        <f>+'ESTADOS FINANCIEROS '!G10</f>
        <v>15339208.968494749</v>
      </c>
      <c r="F37" s="158"/>
      <c r="G37" s="159"/>
      <c r="H37" s="123"/>
      <c r="I37" s="262" t="s">
        <v>198</v>
      </c>
      <c r="J37" s="163" t="s">
        <v>208</v>
      </c>
      <c r="K37" s="157">
        <f>+'ESTADOS FINANCIEROS '!H10</f>
        <v>12452973.031505251</v>
      </c>
      <c r="L37" s="158"/>
      <c r="M37" s="159"/>
      <c r="N37" s="124"/>
    </row>
    <row r="38" spans="2:14" ht="16.5" thickTop="1" x14ac:dyDescent="0.25">
      <c r="B38" s="122"/>
      <c r="C38" s="258"/>
      <c r="D38" s="148" t="s">
        <v>199</v>
      </c>
      <c r="E38" s="147">
        <f>+'ESTADOS FINANCIEROS '!G8</f>
        <v>16488780</v>
      </c>
      <c r="F38" s="146"/>
      <c r="G38" s="20"/>
      <c r="H38" s="123"/>
      <c r="I38" s="262"/>
      <c r="J38" s="19" t="s">
        <v>199</v>
      </c>
      <c r="K38" s="147">
        <f>+'ESTADOS FINANCIEROS '!H8</f>
        <v>13386240</v>
      </c>
      <c r="L38" s="146"/>
      <c r="M38" s="20"/>
      <c r="N38" s="124"/>
    </row>
    <row r="39" spans="2:14" ht="16.5" thickBot="1" x14ac:dyDescent="0.3">
      <c r="B39" s="122"/>
      <c r="C39" s="258"/>
      <c r="D39" s="148"/>
      <c r="E39" s="147"/>
      <c r="F39" s="146"/>
      <c r="G39" s="20"/>
      <c r="H39" s="123"/>
      <c r="I39" s="262"/>
      <c r="J39" s="19"/>
      <c r="K39" s="147"/>
      <c r="L39" s="146"/>
      <c r="M39" s="20"/>
      <c r="N39" s="124"/>
    </row>
    <row r="40" spans="2:14" x14ac:dyDescent="0.25">
      <c r="B40" s="122"/>
      <c r="C40" s="148" t="s">
        <v>229</v>
      </c>
      <c r="D40" s="150"/>
      <c r="E40" s="152"/>
      <c r="F40" s="153"/>
      <c r="G40" s="160">
        <f>+E37/E38</f>
        <v>0.93028161989514979</v>
      </c>
      <c r="H40" s="123"/>
      <c r="I40" s="148" t="s">
        <v>229</v>
      </c>
      <c r="J40" s="151"/>
      <c r="K40" s="152"/>
      <c r="L40" s="153"/>
      <c r="M40" s="160">
        <f>+K37/K38</f>
        <v>0.9302816198951499</v>
      </c>
      <c r="N40" s="124"/>
    </row>
    <row r="41" spans="2:14" ht="16.5" thickBot="1" x14ac:dyDescent="0.3">
      <c r="B41" s="122"/>
      <c r="C41" s="258" t="s">
        <v>200</v>
      </c>
      <c r="D41" s="156" t="s">
        <v>201</v>
      </c>
      <c r="E41" s="157">
        <f>+'ESTADOS FINANCIEROS '!G16</f>
        <v>5520525.6351614147</v>
      </c>
      <c r="F41" s="158"/>
      <c r="G41" s="159"/>
      <c r="H41" s="123"/>
      <c r="I41" s="262" t="s">
        <v>200</v>
      </c>
      <c r="J41" s="163" t="s">
        <v>201</v>
      </c>
      <c r="K41" s="157">
        <f>+'ESTADOS FINANCIEROS '!H16</f>
        <v>7935792.4759496953</v>
      </c>
      <c r="L41" s="158"/>
      <c r="M41" s="159"/>
      <c r="N41" s="124"/>
    </row>
    <row r="42" spans="2:14" ht="16.5" thickTop="1" x14ac:dyDescent="0.25">
      <c r="B42" s="122"/>
      <c r="C42" s="258"/>
      <c r="D42" s="148" t="s">
        <v>199</v>
      </c>
      <c r="E42" s="147">
        <f>+'ESTADOS FINANCIEROS '!G8</f>
        <v>16488780</v>
      </c>
      <c r="F42" s="146"/>
      <c r="G42" s="20"/>
      <c r="H42" s="123"/>
      <c r="I42" s="262"/>
      <c r="J42" s="19" t="s">
        <v>199</v>
      </c>
      <c r="K42" s="147">
        <f>+'ESTADOS FINANCIEROS '!H8</f>
        <v>13386240</v>
      </c>
      <c r="L42" s="146"/>
      <c r="M42" s="20"/>
      <c r="N42" s="124"/>
    </row>
    <row r="43" spans="2:14" ht="16.5" thickBot="1" x14ac:dyDescent="0.3">
      <c r="B43" s="122"/>
      <c r="C43" s="258"/>
      <c r="D43" s="148"/>
      <c r="E43" s="147"/>
      <c r="F43" s="146"/>
      <c r="G43" s="20"/>
      <c r="H43" s="123"/>
      <c r="I43" s="262"/>
      <c r="J43" s="19"/>
      <c r="K43" s="147"/>
      <c r="L43" s="146"/>
      <c r="M43" s="20"/>
      <c r="N43" s="124"/>
    </row>
    <row r="44" spans="2:14" x14ac:dyDescent="0.25">
      <c r="B44" s="122"/>
      <c r="C44" s="201" t="s">
        <v>231</v>
      </c>
      <c r="D44" s="150"/>
      <c r="E44" s="152"/>
      <c r="F44" s="153"/>
      <c r="G44" s="160">
        <f>+E41/E42</f>
        <v>0.33480497860735692</v>
      </c>
      <c r="H44" s="123"/>
      <c r="I44" s="201" t="s">
        <v>231</v>
      </c>
      <c r="J44" s="151"/>
      <c r="K44" s="152"/>
      <c r="L44" s="153"/>
      <c r="M44" s="160">
        <f>+K41/K42</f>
        <v>0.59283207801068072</v>
      </c>
      <c r="N44" s="124"/>
    </row>
    <row r="45" spans="2:14" ht="16.5" thickBot="1" x14ac:dyDescent="0.3">
      <c r="B45" s="122"/>
      <c r="C45" s="263" t="s">
        <v>202</v>
      </c>
      <c r="D45" s="19" t="s">
        <v>203</v>
      </c>
      <c r="E45" s="193" t="s">
        <v>205</v>
      </c>
      <c r="F45" s="155" t="s">
        <v>204</v>
      </c>
      <c r="G45" s="20"/>
      <c r="H45" s="123"/>
      <c r="I45" s="262" t="s">
        <v>202</v>
      </c>
      <c r="J45" s="163" t="s">
        <v>203</v>
      </c>
      <c r="K45" s="165" t="s">
        <v>205</v>
      </c>
      <c r="L45" s="166" t="s">
        <v>204</v>
      </c>
      <c r="M45" s="159"/>
      <c r="N45" s="124"/>
    </row>
    <row r="46" spans="2:14" ht="16.5" thickTop="1" x14ac:dyDescent="0.25">
      <c r="B46" s="122"/>
      <c r="C46" s="267"/>
      <c r="D46" s="147">
        <f>+'ESTADOS FINANCIEROS '!G108</f>
        <v>9803080.7952438723</v>
      </c>
      <c r="E46" s="193" t="s">
        <v>205</v>
      </c>
      <c r="F46" s="147">
        <f>+'ESTADOS FINANCIEROS '!G120</f>
        <v>0</v>
      </c>
      <c r="G46" s="20"/>
      <c r="H46" s="123"/>
      <c r="I46" s="262"/>
      <c r="J46" s="147">
        <f>+'ESTADOS FINANCIEROS '!H108</f>
        <v>18255053.826749124</v>
      </c>
      <c r="K46" s="193" t="s">
        <v>205</v>
      </c>
      <c r="L46" s="147">
        <f>+'ESTADOS FINANCIEROS '!H120</f>
        <v>0</v>
      </c>
      <c r="M46" s="20"/>
      <c r="N46" s="124"/>
    </row>
    <row r="47" spans="2:14" x14ac:dyDescent="0.25">
      <c r="B47" s="122"/>
      <c r="C47" s="267"/>
      <c r="D47" s="19"/>
      <c r="E47" s="19"/>
      <c r="F47" s="146"/>
      <c r="G47" s="20"/>
      <c r="H47" s="123"/>
      <c r="I47" s="262"/>
      <c r="J47" s="19"/>
      <c r="K47" s="19"/>
      <c r="L47" s="146"/>
      <c r="M47" s="20"/>
      <c r="N47" s="124"/>
    </row>
    <row r="48" spans="2:14" ht="16.5" thickBot="1" x14ac:dyDescent="0.3">
      <c r="B48" s="122"/>
      <c r="C48" s="268"/>
      <c r="D48" s="19"/>
      <c r="E48" s="147"/>
      <c r="F48" s="146"/>
      <c r="G48" s="20"/>
      <c r="H48" s="123"/>
      <c r="I48" s="262"/>
      <c r="J48" s="19"/>
      <c r="K48" s="147"/>
      <c r="L48" s="146"/>
      <c r="M48" s="20"/>
      <c r="N48" s="124"/>
    </row>
    <row r="49" spans="2:14" x14ac:dyDescent="0.25">
      <c r="B49" s="122"/>
      <c r="C49" s="150" t="s">
        <v>232</v>
      </c>
      <c r="D49" s="151"/>
      <c r="E49" s="152"/>
      <c r="F49" s="153"/>
      <c r="G49" s="154">
        <f>+D46-F46</f>
        <v>9803080.7952438723</v>
      </c>
      <c r="H49" s="123"/>
      <c r="I49" s="150" t="s">
        <v>232</v>
      </c>
      <c r="J49" s="151"/>
      <c r="K49" s="152"/>
      <c r="L49" s="153"/>
      <c r="M49" s="154">
        <f>+J46-L46</f>
        <v>18255053.826749124</v>
      </c>
      <c r="N49" s="124"/>
    </row>
    <row r="50" spans="2:14" x14ac:dyDescent="0.25">
      <c r="B50" s="122"/>
      <c r="C50" s="19"/>
      <c r="D50" s="19"/>
      <c r="E50" s="19"/>
      <c r="F50" s="19"/>
      <c r="G50" s="19"/>
      <c r="H50" s="123"/>
      <c r="I50" s="123"/>
      <c r="J50" s="123"/>
      <c r="K50" s="123"/>
      <c r="L50" s="123"/>
      <c r="M50" s="123"/>
      <c r="N50" s="124"/>
    </row>
    <row r="51" spans="2:14" x14ac:dyDescent="0.25">
      <c r="B51" s="139"/>
      <c r="C51" s="151"/>
      <c r="D51" s="151"/>
      <c r="E51" s="151"/>
      <c r="F51" s="151"/>
      <c r="G51" s="151"/>
      <c r="H51" s="140"/>
      <c r="I51" s="140"/>
      <c r="J51" s="140"/>
      <c r="K51" s="140"/>
      <c r="L51" s="140"/>
      <c r="M51" s="140"/>
      <c r="N51" s="141"/>
    </row>
  </sheetData>
  <mergeCells count="28">
    <mergeCell ref="I37:I39"/>
    <mergeCell ref="I41:I43"/>
    <mergeCell ref="I45:I48"/>
    <mergeCell ref="I22:J22"/>
    <mergeCell ref="I23:I24"/>
    <mergeCell ref="I26:I27"/>
    <mergeCell ref="I29:I31"/>
    <mergeCell ref="I33:I35"/>
    <mergeCell ref="C45:C48"/>
    <mergeCell ref="C26:C27"/>
    <mergeCell ref="C29:C31"/>
    <mergeCell ref="C33:C35"/>
    <mergeCell ref="C37:C39"/>
    <mergeCell ref="C41:C43"/>
    <mergeCell ref="B3:N3"/>
    <mergeCell ref="C23:C24"/>
    <mergeCell ref="C6:G6"/>
    <mergeCell ref="C7:C9"/>
    <mergeCell ref="C11:C13"/>
    <mergeCell ref="C15:C17"/>
    <mergeCell ref="C19:C21"/>
    <mergeCell ref="I6:M6"/>
    <mergeCell ref="I7:I9"/>
    <mergeCell ref="I11:I13"/>
    <mergeCell ref="I15:I17"/>
    <mergeCell ref="I19:I21"/>
    <mergeCell ref="C14:F14"/>
    <mergeCell ref="I14:L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PRODUCTO</vt:lpstr>
      <vt:lpstr>INVERSIONES </vt:lpstr>
      <vt:lpstr>GASTOS </vt:lpstr>
      <vt:lpstr>ESTADOS FINANCIEROS </vt:lpstr>
      <vt:lpstr>EVALUACION </vt:lpstr>
      <vt:lpstr>RAZONES FINANCIERAS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GARAY</dc:creator>
  <cp:lastModifiedBy>ANGIE GARAY </cp:lastModifiedBy>
  <dcterms:created xsi:type="dcterms:W3CDTF">2017-06-08T16:01:13Z</dcterms:created>
  <dcterms:modified xsi:type="dcterms:W3CDTF">2017-06-15T14:41:13Z</dcterms:modified>
</cp:coreProperties>
</file>