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 tabRatio="812" firstSheet="2" activeTab="6"/>
  </bookViews>
  <sheets>
    <sheet name="APORTES DE CAPITAL" sheetId="12" r:id="rId1"/>
    <sheet name="BALANCE INICIAL" sheetId="13" r:id="rId2"/>
    <sheet name="CLASIFICACIÓN DE COSTOS" sheetId="2" r:id="rId3"/>
    <sheet name="COMPRAS MES 1" sheetId="1" r:id="rId4"/>
    <sheet name="DEPRECIACIONES" sheetId="3" r:id="rId5"/>
    <sheet name="GASTOS" sheetId="4" r:id="rId6"/>
    <sheet name="ESTADO DE COSTOS" sheetId="15" r:id="rId7"/>
    <sheet name="PRECIO DE VENTA" sheetId="5" r:id="rId8"/>
    <sheet name="CAUSACION MES 1" sheetId="16" r:id="rId9"/>
    <sheet name="CUENTAS T MES 1" sheetId="14" r:id="rId10"/>
    <sheet name="COSTOS FIJOS Y VARIABLES" sheetId="17" r:id="rId11"/>
    <sheet name="PUNTO DE EQUILIBRIO" sheetId="9" r:id="rId12"/>
    <sheet name="BALANCE GENERAL" sheetId="8" r:id="rId13"/>
    <sheet name="ESTADO DE RESULTADOS" sheetId="7" r:id="rId14"/>
    <sheet name="MARGEN DE CONTRIBUCIÓN" sheetId="11" r:id="rId15"/>
  </sheets>
  <calcPr calcId="124519" iterateDelta="1E-4"/>
</workbook>
</file>

<file path=xl/calcChain.xml><?xml version="1.0" encoding="utf-8"?>
<calcChain xmlns="http://schemas.openxmlformats.org/spreadsheetml/2006/main">
  <c r="C16" i="14"/>
  <c r="H8" l="1"/>
  <c r="K13" l="1"/>
  <c r="A10" i="15"/>
  <c r="B25" i="16"/>
  <c r="B15"/>
  <c r="H19" i="3"/>
  <c r="I19" s="1"/>
  <c r="J19" s="1"/>
  <c r="K19" s="1"/>
  <c r="L19" s="1"/>
  <c r="M19" s="1"/>
  <c r="N19" s="1"/>
  <c r="O19" s="1"/>
  <c r="P19" s="1"/>
  <c r="Q19" s="1"/>
  <c r="R19" s="1"/>
  <c r="S19" s="1"/>
  <c r="H22"/>
  <c r="I22" s="1"/>
  <c r="J22" s="1"/>
  <c r="K22" s="1"/>
  <c r="L22" s="1"/>
  <c r="M22" s="1"/>
  <c r="N22" s="1"/>
  <c r="O22" s="1"/>
  <c r="P22" s="1"/>
  <c r="Q22" s="1"/>
  <c r="R22" s="1"/>
  <c r="S22" s="1"/>
  <c r="H23"/>
  <c r="I23" s="1"/>
  <c r="G19"/>
  <c r="G20"/>
  <c r="H20" s="1"/>
  <c r="G22"/>
  <c r="G23"/>
  <c r="G17"/>
  <c r="E23"/>
  <c r="E22"/>
  <c r="E19"/>
  <c r="E20"/>
  <c r="D23"/>
  <c r="D22"/>
  <c r="D20"/>
  <c r="D21"/>
  <c r="D19"/>
  <c r="C23"/>
  <c r="C22"/>
  <c r="C20"/>
  <c r="C21"/>
  <c r="C19"/>
  <c r="B23"/>
  <c r="B22"/>
  <c r="B20"/>
  <c r="B21"/>
  <c r="B19"/>
  <c r="E6"/>
  <c r="E7"/>
  <c r="E9"/>
  <c r="E10"/>
  <c r="E12"/>
  <c r="E13"/>
  <c r="E14"/>
  <c r="E15"/>
  <c r="E17"/>
  <c r="D5"/>
  <c r="D6"/>
  <c r="D7"/>
  <c r="D8"/>
  <c r="D9"/>
  <c r="D10"/>
  <c r="D11"/>
  <c r="D12"/>
  <c r="D13"/>
  <c r="D14"/>
  <c r="D15"/>
  <c r="D16"/>
  <c r="D17"/>
  <c r="D18"/>
  <c r="D4"/>
  <c r="C5"/>
  <c r="C6"/>
  <c r="C7"/>
  <c r="C8"/>
  <c r="C9"/>
  <c r="C10"/>
  <c r="C11"/>
  <c r="C12"/>
  <c r="C13"/>
  <c r="C14"/>
  <c r="C15"/>
  <c r="C16"/>
  <c r="C17"/>
  <c r="C18"/>
  <c r="C4"/>
  <c r="B5"/>
  <c r="B6"/>
  <c r="B7"/>
  <c r="B8"/>
  <c r="B9"/>
  <c r="B10"/>
  <c r="B11"/>
  <c r="B12"/>
  <c r="B13"/>
  <c r="B14"/>
  <c r="B15"/>
  <c r="B16"/>
  <c r="B17"/>
  <c r="B18"/>
  <c r="B4"/>
  <c r="J23" l="1"/>
  <c r="K23" s="1"/>
  <c r="L23" s="1"/>
  <c r="M23" s="1"/>
  <c r="N23" s="1"/>
  <c r="O23" s="1"/>
  <c r="P23" s="1"/>
  <c r="Q23" s="1"/>
  <c r="R23" s="1"/>
  <c r="S23" s="1"/>
  <c r="T22"/>
  <c r="U22" s="1"/>
  <c r="V22" s="1"/>
  <c r="W22" s="1"/>
  <c r="I20"/>
  <c r="J20" s="1"/>
  <c r="K20" s="1"/>
  <c r="L20" s="1"/>
  <c r="M20" s="1"/>
  <c r="N20" s="1"/>
  <c r="O20" s="1"/>
  <c r="P20" s="1"/>
  <c r="Q20" s="1"/>
  <c r="R20" s="1"/>
  <c r="S20" s="1"/>
  <c r="T19"/>
  <c r="U19" s="1"/>
  <c r="V19" s="1"/>
  <c r="W19" s="1"/>
  <c r="T23" l="1"/>
  <c r="U23" s="1"/>
  <c r="V23" s="1"/>
  <c r="W23" s="1"/>
  <c r="T20"/>
  <c r="U20" s="1"/>
  <c r="V20" s="1"/>
  <c r="W20" s="1"/>
  <c r="G13" l="1"/>
  <c r="H13" s="1"/>
  <c r="G14"/>
  <c r="H14" s="1"/>
  <c r="C45" i="1"/>
  <c r="E45" s="1"/>
  <c r="C15" i="16" l="1"/>
  <c r="D25"/>
  <c r="G12" i="3"/>
  <c r="H12" s="1"/>
  <c r="I12" s="1"/>
  <c r="J12" s="1"/>
  <c r="K12" s="1"/>
  <c r="L12" s="1"/>
  <c r="M12" s="1"/>
  <c r="N12" s="1"/>
  <c r="O12" s="1"/>
  <c r="P12" s="1"/>
  <c r="Q12" s="1"/>
  <c r="R12" s="1"/>
  <c r="S12" s="1"/>
  <c r="I14"/>
  <c r="J14" s="1"/>
  <c r="K14" s="1"/>
  <c r="L14" s="1"/>
  <c r="M14" s="1"/>
  <c r="N14" s="1"/>
  <c r="O14" s="1"/>
  <c r="P14" s="1"/>
  <c r="Q14" s="1"/>
  <c r="R14" s="1"/>
  <c r="S14" s="1"/>
  <c r="I13"/>
  <c r="J13" s="1"/>
  <c r="K13" s="1"/>
  <c r="L13" s="1"/>
  <c r="M13" s="1"/>
  <c r="N13" s="1"/>
  <c r="O13" s="1"/>
  <c r="P13" s="1"/>
  <c r="Q13" s="1"/>
  <c r="R13" s="1"/>
  <c r="S13" s="1"/>
  <c r="T13" l="1"/>
  <c r="U13" s="1"/>
  <c r="V13" s="1"/>
  <c r="W13" s="1"/>
  <c r="T12"/>
  <c r="U12" s="1"/>
  <c r="V12" s="1"/>
  <c r="W12" s="1"/>
  <c r="T14"/>
  <c r="U14" s="1"/>
  <c r="V14" s="1"/>
  <c r="W14" s="1"/>
  <c r="E34" i="1" l="1"/>
  <c r="E19"/>
  <c r="E18" i="3" s="1"/>
  <c r="G18" s="1"/>
  <c r="E18" i="1"/>
  <c r="E17"/>
  <c r="E16" i="3" s="1"/>
  <c r="E16" i="1"/>
  <c r="E15"/>
  <c r="E14"/>
  <c r="E13"/>
  <c r="E12"/>
  <c r="E11" i="3" s="1"/>
  <c r="G11" s="1"/>
  <c r="H11" s="1"/>
  <c r="E11" i="1"/>
  <c r="E10"/>
  <c r="E9"/>
  <c r="E8" i="3" s="1"/>
  <c r="E8" i="1"/>
  <c r="E7"/>
  <c r="E6"/>
  <c r="E5" i="3" s="1"/>
  <c r="E5" i="1"/>
  <c r="D9" i="2"/>
  <c r="D7"/>
  <c r="D5"/>
  <c r="D4"/>
  <c r="B16" i="13"/>
  <c r="B15"/>
  <c r="B8" i="12"/>
  <c r="C7" i="13" s="1"/>
  <c r="D6" s="1"/>
  <c r="D8" s="1"/>
  <c r="D19" s="1"/>
  <c r="C16"/>
  <c r="I7" i="14" s="1"/>
  <c r="C15" i="13"/>
  <c r="I6" i="14" s="1"/>
  <c r="I11" i="3" l="1"/>
  <c r="J11" s="1"/>
  <c r="K11" s="1"/>
  <c r="L11" s="1"/>
  <c r="M11" s="1"/>
  <c r="N11" s="1"/>
  <c r="O11" s="1"/>
  <c r="P11" s="1"/>
  <c r="Q11" s="1"/>
  <c r="R11" s="1"/>
  <c r="S11" s="1"/>
  <c r="E20" i="1"/>
  <c r="E4" i="3"/>
  <c r="D26" i="16"/>
  <c r="I22" i="14" s="1"/>
  <c r="D6" i="2"/>
  <c r="D8"/>
  <c r="D29" i="16" s="1"/>
  <c r="F31" i="14" s="1"/>
  <c r="C43" i="1"/>
  <c r="E43" s="1"/>
  <c r="B43"/>
  <c r="A14" i="15" s="1"/>
  <c r="C44" i="1"/>
  <c r="E44" s="1"/>
  <c r="C42"/>
  <c r="C41"/>
  <c r="C40"/>
  <c r="B44"/>
  <c r="A13" i="15" s="1"/>
  <c r="B42" i="1"/>
  <c r="A12" i="15" s="1"/>
  <c r="B41" i="1"/>
  <c r="A11" i="15" s="1"/>
  <c r="B40" i="1"/>
  <c r="A9" i="15" s="1"/>
  <c r="E28" i="1"/>
  <c r="T11" i="3" l="1"/>
  <c r="U11" s="1"/>
  <c r="V11" s="1"/>
  <c r="W11" s="1"/>
  <c r="E13" i="14"/>
  <c r="D5" i="16"/>
  <c r="C4" s="1"/>
  <c r="D27"/>
  <c r="L22" i="14" s="1"/>
  <c r="D10" i="2"/>
  <c r="E23" i="8"/>
  <c r="D28" i="16"/>
  <c r="C31" i="14" s="1"/>
  <c r="B10" i="15"/>
  <c r="A8" i="17"/>
  <c r="B30" i="16"/>
  <c r="B16"/>
  <c r="B27"/>
  <c r="B18"/>
  <c r="B26"/>
  <c r="B17"/>
  <c r="B19"/>
  <c r="B28"/>
  <c r="B29"/>
  <c r="B20"/>
  <c r="D16" i="2"/>
  <c r="D15"/>
  <c r="B22" i="17"/>
  <c r="B21"/>
  <c r="A12"/>
  <c r="A5"/>
  <c r="A6"/>
  <c r="A7"/>
  <c r="A9"/>
  <c r="A10"/>
  <c r="A3"/>
  <c r="K52" i="14"/>
  <c r="D17" i="2" l="1"/>
  <c r="I62" i="14" l="1"/>
  <c r="I52"/>
  <c r="F52"/>
  <c r="B52"/>
  <c r="L34"/>
  <c r="I34"/>
  <c r="F34"/>
  <c r="L16"/>
  <c r="I16"/>
  <c r="F16"/>
  <c r="G16" i="3"/>
  <c r="H17"/>
  <c r="I17" s="1"/>
  <c r="J17" s="1"/>
  <c r="K17" s="1"/>
  <c r="L17" s="1"/>
  <c r="M17" s="1"/>
  <c r="N17" s="1"/>
  <c r="O17" s="1"/>
  <c r="P17" s="1"/>
  <c r="Q17" s="1"/>
  <c r="R17" s="1"/>
  <c r="S17" s="1"/>
  <c r="H18"/>
  <c r="G15"/>
  <c r="H15" s="1"/>
  <c r="G10"/>
  <c r="H10" s="1"/>
  <c r="G9"/>
  <c r="H9" s="1"/>
  <c r="G8"/>
  <c r="H8" s="1"/>
  <c r="G7"/>
  <c r="H7" s="1"/>
  <c r="G6"/>
  <c r="H6" s="1"/>
  <c r="G5"/>
  <c r="H5" s="1"/>
  <c r="G4"/>
  <c r="H4" s="1"/>
  <c r="B25" i="15"/>
  <c r="B14" i="17" s="1"/>
  <c r="B26" i="15"/>
  <c r="B15" i="17" s="1"/>
  <c r="B24" i="15"/>
  <c r="A25"/>
  <c r="A14" i="17" s="1"/>
  <c r="A26" i="15"/>
  <c r="A15" i="17" s="1"/>
  <c r="A24" i="15"/>
  <c r="A13" i="17" s="1"/>
  <c r="A20" i="15"/>
  <c r="A19"/>
  <c r="A4" i="17"/>
  <c r="B20" i="15"/>
  <c r="B19"/>
  <c r="B21" s="1"/>
  <c r="B27" l="1"/>
  <c r="B13" i="17"/>
  <c r="B16" s="1"/>
  <c r="I7" i="3"/>
  <c r="J7" s="1"/>
  <c r="K7" s="1"/>
  <c r="L7" s="1"/>
  <c r="M7" s="1"/>
  <c r="N7" s="1"/>
  <c r="O7" s="1"/>
  <c r="P7" s="1"/>
  <c r="Q7" s="1"/>
  <c r="R7" s="1"/>
  <c r="S7" s="1"/>
  <c r="I15"/>
  <c r="J15" s="1"/>
  <c r="K15" s="1"/>
  <c r="L15" s="1"/>
  <c r="M15" s="1"/>
  <c r="N15" s="1"/>
  <c r="O15" s="1"/>
  <c r="P15" s="1"/>
  <c r="Q15" s="1"/>
  <c r="R15" s="1"/>
  <c r="S15" s="1"/>
  <c r="I4"/>
  <c r="J4" s="1"/>
  <c r="K4" s="1"/>
  <c r="L4" s="1"/>
  <c r="M4" s="1"/>
  <c r="N4" s="1"/>
  <c r="O4" s="1"/>
  <c r="P4" s="1"/>
  <c r="Q4" s="1"/>
  <c r="R4" s="1"/>
  <c r="S4" s="1"/>
  <c r="I8"/>
  <c r="J8" s="1"/>
  <c r="K8" s="1"/>
  <c r="L8" s="1"/>
  <c r="M8" s="1"/>
  <c r="N8" s="1"/>
  <c r="O8" s="1"/>
  <c r="P8" s="1"/>
  <c r="Q8" s="1"/>
  <c r="R8" s="1"/>
  <c r="S8" s="1"/>
  <c r="I18"/>
  <c r="J18" s="1"/>
  <c r="K18" s="1"/>
  <c r="L18" s="1"/>
  <c r="M18" s="1"/>
  <c r="N18" s="1"/>
  <c r="O18" s="1"/>
  <c r="P18" s="1"/>
  <c r="Q18" s="1"/>
  <c r="R18" s="1"/>
  <c r="S18" s="1"/>
  <c r="I9"/>
  <c r="J9" s="1"/>
  <c r="K9" s="1"/>
  <c r="L9" s="1"/>
  <c r="M9" s="1"/>
  <c r="N9" s="1"/>
  <c r="O9" s="1"/>
  <c r="P9" s="1"/>
  <c r="Q9" s="1"/>
  <c r="R9" s="1"/>
  <c r="S9" s="1"/>
  <c r="I6"/>
  <c r="J6" s="1"/>
  <c r="K6" s="1"/>
  <c r="L6" s="1"/>
  <c r="M6" s="1"/>
  <c r="N6" s="1"/>
  <c r="O6" s="1"/>
  <c r="P6" s="1"/>
  <c r="Q6" s="1"/>
  <c r="R6" s="1"/>
  <c r="S6" s="1"/>
  <c r="I10"/>
  <c r="J10" s="1"/>
  <c r="K10" s="1"/>
  <c r="L10" s="1"/>
  <c r="M10" s="1"/>
  <c r="N10" s="1"/>
  <c r="O10" s="1"/>
  <c r="P10" s="1"/>
  <c r="Q10" s="1"/>
  <c r="R10" s="1"/>
  <c r="S10" s="1"/>
  <c r="I5"/>
  <c r="J5" s="1"/>
  <c r="K5" s="1"/>
  <c r="L5" s="1"/>
  <c r="M5" s="1"/>
  <c r="N5" s="1"/>
  <c r="O5" s="1"/>
  <c r="P5" s="1"/>
  <c r="Q5" s="1"/>
  <c r="R5" s="1"/>
  <c r="S5" s="1"/>
  <c r="T17"/>
  <c r="U17" s="1"/>
  <c r="V17" s="1"/>
  <c r="W17" s="1"/>
  <c r="G24"/>
  <c r="H24" s="1"/>
  <c r="H16"/>
  <c r="D35" i="16" l="1"/>
  <c r="C36" s="1"/>
  <c r="H41" i="14" s="1"/>
  <c r="H25" i="3"/>
  <c r="I25" s="1"/>
  <c r="J25" s="1"/>
  <c r="K25" s="1"/>
  <c r="L25" s="1"/>
  <c r="M25" s="1"/>
  <c r="N25" s="1"/>
  <c r="O25" s="1"/>
  <c r="P25" s="1"/>
  <c r="Q25" s="1"/>
  <c r="R25" s="1"/>
  <c r="S25" s="1"/>
  <c r="C53" i="16"/>
  <c r="T6" i="3"/>
  <c r="U6" s="1"/>
  <c r="V6" s="1"/>
  <c r="W6" s="1"/>
  <c r="T10"/>
  <c r="U10" s="1"/>
  <c r="V10" s="1"/>
  <c r="W10" s="1"/>
  <c r="T18"/>
  <c r="U18" s="1"/>
  <c r="V18" s="1"/>
  <c r="W18" s="1"/>
  <c r="I24"/>
  <c r="J24" s="1"/>
  <c r="K24" s="1"/>
  <c r="L24" s="1"/>
  <c r="M24" s="1"/>
  <c r="N24" s="1"/>
  <c r="O24" s="1"/>
  <c r="P24" s="1"/>
  <c r="Q24" s="1"/>
  <c r="R24" s="1"/>
  <c r="S24" s="1"/>
  <c r="D71" i="16"/>
  <c r="C54"/>
  <c r="K31" i="14" s="1"/>
  <c r="K34" s="1"/>
  <c r="K35" s="1"/>
  <c r="L35" s="1"/>
  <c r="F63" s="1"/>
  <c r="D40" i="16"/>
  <c r="H42" i="14" s="1"/>
  <c r="T9" i="3"/>
  <c r="U9" s="1"/>
  <c r="V9" s="1"/>
  <c r="W9" s="1"/>
  <c r="T8"/>
  <c r="U8" s="1"/>
  <c r="V8" s="1"/>
  <c r="W8" s="1"/>
  <c r="T15"/>
  <c r="U15" s="1"/>
  <c r="V15" s="1"/>
  <c r="W15" s="1"/>
  <c r="T5"/>
  <c r="U5" s="1"/>
  <c r="V5" s="1"/>
  <c r="W5" s="1"/>
  <c r="T4"/>
  <c r="U4" s="1"/>
  <c r="V4" s="1"/>
  <c r="W4" s="1"/>
  <c r="T7"/>
  <c r="U7" s="1"/>
  <c r="V7" s="1"/>
  <c r="W7" s="1"/>
  <c r="I16"/>
  <c r="J16" s="1"/>
  <c r="K16" s="1"/>
  <c r="L16" s="1"/>
  <c r="M16" s="1"/>
  <c r="N16" s="1"/>
  <c r="O16" s="1"/>
  <c r="P16" s="1"/>
  <c r="Q16" s="1"/>
  <c r="R16" s="1"/>
  <c r="S16" s="1"/>
  <c r="E40" i="1"/>
  <c r="E41"/>
  <c r="C17" i="16" s="1"/>
  <c r="E42" i="1"/>
  <c r="C18" i="16" s="1"/>
  <c r="C17" i="2"/>
  <c r="B25"/>
  <c r="B27" s="1"/>
  <c r="B14" i="15"/>
  <c r="B13"/>
  <c r="B11"/>
  <c r="B5" i="17" s="1"/>
  <c r="B12" i="15"/>
  <c r="B6" i="17" s="1"/>
  <c r="E29" i="1"/>
  <c r="B4" i="14"/>
  <c r="B7" s="1"/>
  <c r="B14" i="13"/>
  <c r="C14"/>
  <c r="I5" i="14" s="1"/>
  <c r="C13" i="13"/>
  <c r="B13"/>
  <c r="E30" i="1" l="1"/>
  <c r="E35" s="1"/>
  <c r="E21" i="3"/>
  <c r="G21" s="1"/>
  <c r="H21" s="1"/>
  <c r="I4" i="14"/>
  <c r="I8" s="1"/>
  <c r="I9" s="1"/>
  <c r="E12" i="13"/>
  <c r="E17" s="1"/>
  <c r="E19" s="1"/>
  <c r="K22" i="14"/>
  <c r="K25" s="1"/>
  <c r="H22"/>
  <c r="H25" s="1"/>
  <c r="H31"/>
  <c r="H34" s="1"/>
  <c r="C40"/>
  <c r="B9" i="15"/>
  <c r="B15" s="1"/>
  <c r="B29" s="1"/>
  <c r="E46" i="1"/>
  <c r="T25" i="3"/>
  <c r="U25" s="1"/>
  <c r="V25" s="1"/>
  <c r="W25" s="1"/>
  <c r="C16" i="16"/>
  <c r="B9" i="17"/>
  <c r="C20" i="16"/>
  <c r="E31" i="14" s="1"/>
  <c r="B7" i="17"/>
  <c r="C19" i="16"/>
  <c r="B31" i="14" s="1"/>
  <c r="B4" i="17"/>
  <c r="T24" i="3"/>
  <c r="U24" s="1"/>
  <c r="V24" s="1"/>
  <c r="W24" s="1"/>
  <c r="B22" i="14"/>
  <c r="B25" s="1"/>
  <c r="L49"/>
  <c r="L52" s="1"/>
  <c r="C72" i="16"/>
  <c r="C15" i="4" s="1"/>
  <c r="C16" s="1"/>
  <c r="C73" i="16"/>
  <c r="C7" i="4" s="1"/>
  <c r="C8" s="1"/>
  <c r="F40" i="14"/>
  <c r="C41" i="16"/>
  <c r="T16" i="3"/>
  <c r="U16" s="1"/>
  <c r="V16" s="1"/>
  <c r="W16" s="1"/>
  <c r="I25" i="14"/>
  <c r="L25"/>
  <c r="C22"/>
  <c r="C25" s="1"/>
  <c r="C34"/>
  <c r="C9" i="16" l="1"/>
  <c r="I21" i="3"/>
  <c r="J21" s="1"/>
  <c r="K21" s="1"/>
  <c r="L21" s="1"/>
  <c r="M21" s="1"/>
  <c r="N21" s="1"/>
  <c r="O21" s="1"/>
  <c r="P21" s="1"/>
  <c r="Q21" s="1"/>
  <c r="R21" s="1"/>
  <c r="S21" s="1"/>
  <c r="K26" i="14"/>
  <c r="H35"/>
  <c r="F62"/>
  <c r="I26"/>
  <c r="L26"/>
  <c r="E22"/>
  <c r="E25" s="1"/>
  <c r="C65" i="16"/>
  <c r="B40" i="14" s="1"/>
  <c r="B43" s="1"/>
  <c r="C43"/>
  <c r="D16" i="4"/>
  <c r="B8" i="17"/>
  <c r="B10" s="1"/>
  <c r="B18" s="1"/>
  <c r="E5" i="11" s="1"/>
  <c r="D30" i="16"/>
  <c r="B34" i="14"/>
  <c r="B35" s="1"/>
  <c r="D21" i="16"/>
  <c r="C6" i="14" s="1"/>
  <c r="C10" i="16"/>
  <c r="D11" s="1"/>
  <c r="C5" i="14" s="1"/>
  <c r="K16"/>
  <c r="E16"/>
  <c r="C26"/>
  <c r="B23" i="17"/>
  <c r="B24" s="1"/>
  <c r="C4" i="9" s="1"/>
  <c r="C60" i="16"/>
  <c r="H49" i="14" s="1"/>
  <c r="C59" i="16"/>
  <c r="D13" i="8"/>
  <c r="K53" i="14"/>
  <c r="L53" s="1"/>
  <c r="F43"/>
  <c r="C66" i="16"/>
  <c r="H26" i="14"/>
  <c r="B26"/>
  <c r="C52" i="16"/>
  <c r="H16" i="14" l="1"/>
  <c r="H13"/>
  <c r="T21" i="3"/>
  <c r="U21" s="1"/>
  <c r="V21" s="1"/>
  <c r="W21" s="1"/>
  <c r="E34" i="14"/>
  <c r="E35" s="1"/>
  <c r="F35" s="1"/>
  <c r="B13"/>
  <c r="B16" s="1"/>
  <c r="C31" i="16"/>
  <c r="H40" i="14" s="1"/>
  <c r="H43" s="1"/>
  <c r="F22"/>
  <c r="F25" s="1"/>
  <c r="F26" s="1"/>
  <c r="D67" i="16"/>
  <c r="F5" i="14" s="1"/>
  <c r="B44"/>
  <c r="C44"/>
  <c r="E18" i="8" s="1"/>
  <c r="E19" s="1"/>
  <c r="E49" i="14"/>
  <c r="E52" s="1"/>
  <c r="B30" i="15"/>
  <c r="C3" i="5" s="1"/>
  <c r="C4" s="1"/>
  <c r="C5" i="9" s="1"/>
  <c r="D4" s="1"/>
  <c r="D45" i="16"/>
  <c r="I40" i="14" s="1"/>
  <c r="I43" s="1"/>
  <c r="C35"/>
  <c r="L17"/>
  <c r="K17"/>
  <c r="D11" i="8" s="1"/>
  <c r="E17" i="14"/>
  <c r="D10" i="8" s="1"/>
  <c r="F17" i="14"/>
  <c r="H52"/>
  <c r="D61" i="16"/>
  <c r="F4" i="14" s="1"/>
  <c r="E40"/>
  <c r="E43" s="1"/>
  <c r="E44" s="1"/>
  <c r="I17" l="1"/>
  <c r="H17"/>
  <c r="D12" i="8" s="1"/>
  <c r="F61" i="14"/>
  <c r="B17"/>
  <c r="C17"/>
  <c r="E26"/>
  <c r="F7"/>
  <c r="E53"/>
  <c r="F53" s="1"/>
  <c r="F59" s="1"/>
  <c r="C11" i="7"/>
  <c r="D50" i="16"/>
  <c r="C51" s="1"/>
  <c r="E4" i="14" s="1"/>
  <c r="E7" s="1"/>
  <c r="C4"/>
  <c r="C46" i="16"/>
  <c r="C12" i="7"/>
  <c r="H53" i="14"/>
  <c r="I53" s="1"/>
  <c r="F60" s="1"/>
  <c r="I44"/>
  <c r="H44"/>
  <c r="D8" i="8" s="1"/>
  <c r="C7" i="14" l="1"/>
  <c r="B8" s="1"/>
  <c r="D6" i="8" s="1"/>
  <c r="F64" i="14"/>
  <c r="K40"/>
  <c r="K43" s="1"/>
  <c r="D13" i="7"/>
  <c r="C49" i="14"/>
  <c r="C52" s="1"/>
  <c r="D6" i="7" s="1"/>
  <c r="E4" i="11" s="1"/>
  <c r="E6" s="1"/>
  <c r="F8" i="14"/>
  <c r="E8"/>
  <c r="D5" i="8" s="1"/>
  <c r="C8" i="14" l="1"/>
  <c r="D55" i="16"/>
  <c r="D7" i="7" s="1"/>
  <c r="D8" s="1"/>
  <c r="D15" s="1"/>
  <c r="D19" s="1"/>
  <c r="C53" i="14"/>
  <c r="B53" s="1"/>
  <c r="L40" l="1"/>
  <c r="L43" s="1"/>
  <c r="K44" s="1"/>
  <c r="D9" i="8" s="1"/>
  <c r="D14" s="1"/>
  <c r="D27" s="1"/>
  <c r="G59" i="14"/>
  <c r="G64" s="1"/>
  <c r="G65" s="1"/>
  <c r="F65" s="1"/>
  <c r="J59" s="1"/>
  <c r="J62" s="1"/>
  <c r="L44" l="1"/>
  <c r="I63"/>
  <c r="J63"/>
  <c r="E24" i="8" s="1"/>
  <c r="E25" s="1"/>
  <c r="E27" s="1"/>
</calcChain>
</file>

<file path=xl/sharedStrings.xml><?xml version="1.0" encoding="utf-8"?>
<sst xmlns="http://schemas.openxmlformats.org/spreadsheetml/2006/main" count="349" uniqueCount="213">
  <si>
    <t>TABLA 1.  INVERSION MAQUINARIA Y EQUIPO DE PRODUCCION</t>
  </si>
  <si>
    <t>DETALLE INVERSION</t>
  </si>
  <si>
    <t>CANTIDAD</t>
  </si>
  <si>
    <t>COSTO UNITARIO</t>
  </si>
  <si>
    <t>COSTO TOTAL</t>
  </si>
  <si>
    <t>TOTAL</t>
  </si>
  <si>
    <t>TABLA 2. INVERSION MUEBLES, ENSERES Y EQUIPO DE OFICINA ADMINISTRACION Y VENTAS</t>
  </si>
  <si>
    <t>TABLA 4.  MANO DE OBRA DIRECTA</t>
  </si>
  <si>
    <t>CARGO</t>
  </si>
  <si>
    <t>REMUNERACION MENSUAL</t>
  </si>
  <si>
    <t>CONCEPTO</t>
  </si>
  <si>
    <t>SERVICIO</t>
  </si>
  <si>
    <t>AGUA</t>
  </si>
  <si>
    <t>LUZ</t>
  </si>
  <si>
    <t>GAS</t>
  </si>
  <si>
    <t>ACTIVO</t>
  </si>
  <si>
    <t>AÑO 1</t>
  </si>
  <si>
    <t>PAPELERIA</t>
  </si>
  <si>
    <t>PUBLICIDAD</t>
  </si>
  <si>
    <t>TRANSPORTE</t>
  </si>
  <si>
    <t>MARGEN DE CONTRIBUCION</t>
  </si>
  <si>
    <t>VENTAS</t>
  </si>
  <si>
    <t>COSTOS FIJOS</t>
  </si>
  <si>
    <t>COSTOS VARIABLES</t>
  </si>
  <si>
    <t xml:space="preserve">                                                                                                                                                               </t>
  </si>
  <si>
    <t>GASTOS OPERACIONALES</t>
  </si>
  <si>
    <t>DEPRECIACION</t>
  </si>
  <si>
    <t>UTILIDAD DEL  EJERCICIO</t>
  </si>
  <si>
    <t>BALANCE DE APERTURA</t>
  </si>
  <si>
    <t>PASIVO</t>
  </si>
  <si>
    <t>PATRIMONIO</t>
  </si>
  <si>
    <t>OPERARIO 1</t>
  </si>
  <si>
    <t>OPERARIO 2</t>
  </si>
  <si>
    <t>GASTO MENSUAL</t>
  </si>
  <si>
    <t>ESTADO DE RESULTADOS</t>
  </si>
  <si>
    <t>GASTOS NO OPERACIONALES</t>
  </si>
  <si>
    <t>TABLA 11. GASTOS DE VENTAS</t>
  </si>
  <si>
    <t>MANO DE OBRA DIRECTA</t>
  </si>
  <si>
    <t>PRECIO DE VENTA</t>
  </si>
  <si>
    <t>MARGEN DE CONTRIBUCIÓN</t>
  </si>
  <si>
    <t>NOMBRE</t>
  </si>
  <si>
    <t>APORTE</t>
  </si>
  <si>
    <t>APORTES DE CAPITAL</t>
  </si>
  <si>
    <t>BANCOS</t>
  </si>
  <si>
    <t>TOTAL ACTIVO</t>
  </si>
  <si>
    <t>TOTAL PASIVO</t>
  </si>
  <si>
    <t>TOTAL PATRIMONIO</t>
  </si>
  <si>
    <t>ACTIVO = PASIVO MAS PATRIMONIO</t>
  </si>
  <si>
    <t>DEBE</t>
  </si>
  <si>
    <t>HABER</t>
  </si>
  <si>
    <t xml:space="preserve">DEBE </t>
  </si>
  <si>
    <t>111005 BANCOLOMBIA</t>
  </si>
  <si>
    <t xml:space="preserve">1520 MAQUINARIA Y EQUIPO </t>
  </si>
  <si>
    <t>COMPUTADOR</t>
  </si>
  <si>
    <t>EQUIPO DE COMPUTACION Y COMUNICACIÓN</t>
  </si>
  <si>
    <t>EQUIPO DE OFICINA</t>
  </si>
  <si>
    <t>TOTAL EQUIPO DE COMPUTACION Y COMUNICACIÓN</t>
  </si>
  <si>
    <t>TOTAL EQUIPO DE OFICINA</t>
  </si>
  <si>
    <t>TOTAL INVERSION MUEBLES Y ENSERES</t>
  </si>
  <si>
    <t>1528 EQUIPO DE COMPUTACION  Y COMUNICACIÓN</t>
  </si>
  <si>
    <t>1524 EQUIPO DE OFICINA</t>
  </si>
  <si>
    <t>COSTO DE MATERIA PRIMA UNITARIO</t>
  </si>
  <si>
    <t>COSTO TOTAL UNITARIO MATERIA PRIMA</t>
  </si>
  <si>
    <t>TABLA 2. COSTOS  INDIRECTOS</t>
  </si>
  <si>
    <t>COSTO POR UNIDAD</t>
  </si>
  <si>
    <t>COSTO CIF TOTAL UNITARIO</t>
  </si>
  <si>
    <t>TOTAL MOD MENSUAL</t>
  </si>
  <si>
    <t>TABLA 13. GASTOS ADMINISTRACION</t>
  </si>
  <si>
    <t>ESTADO DE COSTOS PRODUCCION MES 1</t>
  </si>
  <si>
    <t>UNIDADES PRODUCIDAS</t>
  </si>
  <si>
    <t>COMPRA MAQUINARIA Y EQUIPO DE PRODUCCION</t>
  </si>
  <si>
    <t>CUENTA</t>
  </si>
  <si>
    <t xml:space="preserve"> COMPRA EQUIPO DE COMPUTACION  Y COMUNICACIÓN</t>
  </si>
  <si>
    <t>MAQUINARIA Y EQUIPO</t>
  </si>
  <si>
    <t>TOTAL COMPRA MATERIA PRIMA</t>
  </si>
  <si>
    <t xml:space="preserve"> COMPRA MATERIA PRIMA</t>
  </si>
  <si>
    <t>72 MANO DE OBRA</t>
  </si>
  <si>
    <t>73 CIF</t>
  </si>
  <si>
    <t>233525 HONORARIOS POR PAGAR</t>
  </si>
  <si>
    <t>TRASLADO DE MATERIA PRIMA</t>
  </si>
  <si>
    <t>PRODUCTOS EN PROCESO</t>
  </si>
  <si>
    <t>MATERIA PRIMA</t>
  </si>
  <si>
    <t>TOTAL MATERIA PRIMA</t>
  </si>
  <si>
    <t>TOTAL MANO DE OBRA DIRECTA</t>
  </si>
  <si>
    <t>COSTOS INDIRECTOS DE FABRICACION</t>
  </si>
  <si>
    <t>TOTAL COSTOS INDIRECTOS DE FABRICACION</t>
  </si>
  <si>
    <t>TRANSLADO DE PRODUCTOS TERMINADOS</t>
  </si>
  <si>
    <t>CAUSACION MANO DE OBRA</t>
  </si>
  <si>
    <t>23359501 CIF POR PAGAR</t>
  </si>
  <si>
    <t>CAUSACION COSTOS INDIRECTOS FABRICACION CIF</t>
  </si>
  <si>
    <t>CAJA</t>
  </si>
  <si>
    <t>4135 COMERCIO AL POR MAYOR Y MENOR</t>
  </si>
  <si>
    <t>1105 CAJA</t>
  </si>
  <si>
    <t>PAGO PASIVOS</t>
  </si>
  <si>
    <t>PAGO GASTOS ADMINISTRACION Y VENTAS</t>
  </si>
  <si>
    <t>51 GASTOS ADMINISTRACION</t>
  </si>
  <si>
    <t>52 GASTOS DE VENTAS</t>
  </si>
  <si>
    <t>VIDA UTIL</t>
  </si>
  <si>
    <t>VLR DEPRECIACION</t>
  </si>
  <si>
    <t>MES 1</t>
  </si>
  <si>
    <t>TOTAL DEPRECIACION MENSUAL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</si>
  <si>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</si>
  <si>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</si>
  <si>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</si>
  <si>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</si>
  <si>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</si>
  <si>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</si>
  <si>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</si>
  <si>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</si>
  <si>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</si>
  <si>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</si>
  <si>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</si>
  <si>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AÑO 1</t>
  </si>
  <si>
    <t>TOTAL AÑO 2</t>
  </si>
  <si>
    <t>TOTAL AÑO 3</t>
  </si>
  <si>
    <t>TOTAL AÑO 4</t>
  </si>
  <si>
    <t>5905 CIERRE</t>
  </si>
  <si>
    <t>3605 UTILIDAD DEL EJERCICIO</t>
  </si>
  <si>
    <t>BALANCE GENERAL</t>
  </si>
  <si>
    <t>INVENTARIO MATERIA PRIMA</t>
  </si>
  <si>
    <t>INVENTARIO PRODUCTOS TERMINADOS</t>
  </si>
  <si>
    <t>CUENTAS POR PAGAR (HONORARIOS Y CIF)</t>
  </si>
  <si>
    <t>APORTES SOCIALES</t>
  </si>
  <si>
    <t>UTILIDAD DEL EJERCICIO</t>
  </si>
  <si>
    <t>TOTAL PASIVOS</t>
  </si>
  <si>
    <t>INGRESOS OPERACIONALES</t>
  </si>
  <si>
    <t>(-)COSTO DE VENTAS</t>
  </si>
  <si>
    <t>TOTAL INGRESOS BRUTOS</t>
  </si>
  <si>
    <t>ADMINISTRACION</t>
  </si>
  <si>
    <t>DEPRECIACION ACUMULADA</t>
  </si>
  <si>
    <t>1592 DEPRECIACION ACUMULADA</t>
  </si>
  <si>
    <t>TOTAL GASTOS OPERACIONALES</t>
  </si>
  <si>
    <t>UTILIDAD OPERACIONAL</t>
  </si>
  <si>
    <t>TOTAL CIF</t>
  </si>
  <si>
    <t>TOTAL COSTOS Y GASTOS VARIABLES</t>
  </si>
  <si>
    <t>COSTOS Y GASTOS FIJOS</t>
  </si>
  <si>
    <t xml:space="preserve"> OPERARIO 2</t>
  </si>
  <si>
    <t>COSTOS FIJOS ADMINSTRACION Y VENTA</t>
  </si>
  <si>
    <t>TOTAL GASTOS FIJOS</t>
  </si>
  <si>
    <t>COSTO UNITARIO MDO</t>
  </si>
  <si>
    <t>COSTO TOTAL UNITARIO</t>
  </si>
  <si>
    <t>PUNTO DE EQUILIBRIO (UNIDADES)</t>
  </si>
  <si>
    <t>Banco de Bogota</t>
  </si>
  <si>
    <t>EQUIPOS</t>
  </si>
  <si>
    <t>Porta lamparas</t>
  </si>
  <si>
    <t>Interruptores</t>
  </si>
  <si>
    <t>Pulsadores</t>
  </si>
  <si>
    <t>Clavijas</t>
  </si>
  <si>
    <t>Cables electricos</t>
  </si>
  <si>
    <t>Cajas de conexión</t>
  </si>
  <si>
    <t>SILLAS</t>
  </si>
  <si>
    <t xml:space="preserve">ESCRITORIO </t>
  </si>
  <si>
    <t xml:space="preserve">COSTO DE MATERIA PRIMA </t>
  </si>
  <si>
    <t>EQUIPO</t>
  </si>
  <si>
    <t>VALOR EQUIPOS</t>
  </si>
  <si>
    <t xml:space="preserve">CANTIDAD </t>
  </si>
  <si>
    <t>TOTAL COSTO DE PRODUCCION PARA 8 UNIDADES</t>
  </si>
  <si>
    <t>Aportes de Capital</t>
  </si>
  <si>
    <t>TESTER O MULTIMETRO DE AGUJA</t>
  </si>
  <si>
    <t>TALADRO</t>
  </si>
  <si>
    <t>MEDIDOR DE CABLES</t>
  </si>
  <si>
    <t>PROBADOR DE CABLES</t>
  </si>
  <si>
    <t>CAUTIN</t>
  </si>
  <si>
    <t>PINZA ELECTRONICA</t>
  </si>
  <si>
    <t>MARTILLO CON MAGO DE FIBRA</t>
  </si>
  <si>
    <t>MARTILLO DE BOLA CON MANGO</t>
  </si>
  <si>
    <t>DESTORNILLADOR DE ESTRELLA Y PLANO</t>
  </si>
  <si>
    <t xml:space="preserve">PINZA DE CORTE </t>
  </si>
  <si>
    <t>ALIACTES</t>
  </si>
  <si>
    <t>PONCHADORA RJ</t>
  </si>
  <si>
    <t>PINZA CIMPREADORA</t>
  </si>
  <si>
    <t xml:space="preserve">LIMA </t>
  </si>
  <si>
    <t>SEGUETA</t>
  </si>
  <si>
    <t>TELEFONO MOVIL</t>
  </si>
  <si>
    <t>IMPRESORA</t>
  </si>
  <si>
    <t>CODIGO</t>
  </si>
  <si>
    <t>Maquinaria y Equipo</t>
  </si>
  <si>
    <t>Bancos</t>
  </si>
  <si>
    <t>Equipo de Computación y Comunicación</t>
  </si>
  <si>
    <t>Equipo de Oficina</t>
  </si>
  <si>
    <t>Honorarios</t>
  </si>
  <si>
    <t>Cif</t>
  </si>
  <si>
    <t>Productos Terminados</t>
  </si>
  <si>
    <t>Caja</t>
  </si>
  <si>
    <t>Materia Prima</t>
  </si>
  <si>
    <t>Mano de Obra</t>
  </si>
  <si>
    <t>Inventario Productos Terminados</t>
  </si>
  <si>
    <t>Comercial al por Mayor y Menor</t>
  </si>
  <si>
    <t>INSTALACIÓN DE REDES ELECTRICAS DOMICILIARIAS</t>
  </si>
  <si>
    <t xml:space="preserve">Costo Unitario </t>
  </si>
  <si>
    <t xml:space="preserve">Margen de Utilidad </t>
  </si>
  <si>
    <t>Gastos de Administración</t>
  </si>
  <si>
    <t>Gastos de Ventas</t>
  </si>
  <si>
    <t>Depreciación Acumulada</t>
  </si>
  <si>
    <t xml:space="preserve">Depreciació </t>
  </si>
  <si>
    <t>Depreciación</t>
  </si>
  <si>
    <t>140505 MATERIA PRIMA CLAVIJAS</t>
  </si>
  <si>
    <t>140510 MATERIA PRIMA CABLES ELECTRICOS</t>
  </si>
  <si>
    <t>140515 MATERIA PRIMA CAJA DE CONEXIÓN</t>
  </si>
  <si>
    <t>140520 MATERIA PRIMA PORTA LAMPARAS</t>
  </si>
  <si>
    <t>140525 MATERIA PRIMA INTERRUPTORES</t>
  </si>
  <si>
    <t>71 MATERIA PRIMA PULSADORES</t>
  </si>
  <si>
    <t>Servicios en Proceso</t>
  </si>
  <si>
    <t>1410 SERVICIOS EN PROCESO</t>
  </si>
  <si>
    <t>1430 SERVICIOS  TERMINADOS</t>
  </si>
  <si>
    <t>SERVICIOS VENDIDOS</t>
  </si>
  <si>
    <t xml:space="preserve">31150501 APORTES SOCIALES </t>
  </si>
  <si>
    <t>1520 MATERIA PRIMA</t>
  </si>
  <si>
    <t>PUNTO DE EQUILIBRIO</t>
  </si>
  <si>
    <t>Estefany Aragon</t>
  </si>
  <si>
    <t>Angie Rodriguez</t>
  </si>
  <si>
    <t>Leonardo Flores</t>
  </si>
  <si>
    <t>Daniela Peña</t>
  </si>
</sst>
</file>

<file path=xl/styles.xml><?xml version="1.0" encoding="utf-8"?>
<styleSheet xmlns="http://schemas.openxmlformats.org/spreadsheetml/2006/main">
  <numFmts count="11">
    <numFmt numFmtId="164" formatCode="_-* #,##0.00\ _€_-;\-* #,##0.00\ _€_-;_-* &quot;-&quot;??\ _€_-;_-@_-"/>
    <numFmt numFmtId="165" formatCode="&quot; $ &quot;#,##0.00&quot; &quot;;&quot; $ (&quot;#,##0.00&quot;)&quot;;&quot; $ -&quot;00&quot; &quot;;&quot; &quot;@&quot; &quot;"/>
    <numFmt numFmtId="166" formatCode="&quot;$ &quot;#,##0&quot; &quot;;[Red]&quot;($ &quot;#,##0&quot;)&quot;"/>
    <numFmt numFmtId="167" formatCode="&quot; $&quot;#,##0.00&quot; &quot;;&quot;-$&quot;#,##0.00&quot; &quot;;&quot; $-&quot;#&quot; &quot;;&quot; &quot;@&quot; &quot;"/>
    <numFmt numFmtId="168" formatCode="_-[$$-240A]* #,##0_-;\-[$$-240A]* #,##0_-;_-[$$-240A]* &quot;-&quot;??_-;_-@_-"/>
    <numFmt numFmtId="169" formatCode="&quot; $ &quot;#,##0&quot; &quot;;&quot; $ (&quot;#,##0&quot;)&quot;;&quot; $ -&quot;00&quot; &quot;;&quot; &quot;@&quot; &quot;"/>
    <numFmt numFmtId="170" formatCode="_-* #,##0\ _€_-;\-* #,##0\ _€_-;_-* &quot;-&quot;??\ _€_-;_-@_-"/>
    <numFmt numFmtId="171" formatCode="[$$-240A]#,##0"/>
    <numFmt numFmtId="172" formatCode="[$$-240A]#,##0;\-[$$-240A]#,##0"/>
    <numFmt numFmtId="173" formatCode="[$$-45C]#,##0"/>
    <numFmt numFmtId="174" formatCode="&quot;$&quot;#,##0"/>
  </numFmts>
  <fonts count="18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167" fontId="2" fillId="0" borderId="0" applyFont="0" applyBorder="0" applyProtection="0"/>
    <xf numFmtId="9" fontId="2" fillId="0" borderId="0" applyFon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5" fillId="0" borderId="0" applyNumberFormat="0" applyBorder="0" applyProtection="0"/>
    <xf numFmtId="164" fontId="2" fillId="0" borderId="0" applyFont="0" applyFill="0" applyBorder="0" applyAlignment="0" applyProtection="0"/>
  </cellStyleXfs>
  <cellXfs count="382">
    <xf numFmtId="0" fontId="0" fillId="0" borderId="0" xfId="0"/>
    <xf numFmtId="3" fontId="0" fillId="0" borderId="0" xfId="0" applyNumberFormat="1"/>
    <xf numFmtId="0" fontId="0" fillId="0" borderId="0" xfId="0" applyAlignment="1"/>
    <xf numFmtId="166" fontId="0" fillId="0" borderId="0" xfId="0" applyNumberFormat="1"/>
    <xf numFmtId="0" fontId="0" fillId="0" borderId="0" xfId="0" applyAlignment="1">
      <alignment horizontal="right"/>
    </xf>
    <xf numFmtId="168" fontId="6" fillId="0" borderId="0" xfId="1" applyNumberFormat="1" applyFont="1" applyFill="1" applyAlignment="1">
      <alignment horizontal="center" vertical="center"/>
    </xf>
    <xf numFmtId="168" fontId="0" fillId="0" borderId="0" xfId="1" applyNumberFormat="1" applyFont="1"/>
    <xf numFmtId="168" fontId="0" fillId="0" borderId="2" xfId="1" applyNumberFormat="1" applyFont="1" applyBorder="1"/>
    <xf numFmtId="168" fontId="6" fillId="0" borderId="0" xfId="1" applyNumberFormat="1" applyFont="1" applyAlignment="1"/>
    <xf numFmtId="168" fontId="6" fillId="0" borderId="1" xfId="1" applyNumberFormat="1" applyFont="1" applyBorder="1" applyAlignment="1">
      <alignment horizontal="center" vertical="center" wrapText="1"/>
    </xf>
    <xf numFmtId="168" fontId="6" fillId="0" borderId="0" xfId="1" applyNumberFormat="1" applyFont="1" applyAlignment="1">
      <alignment horizontal="center" vertical="center" wrapText="1"/>
    </xf>
    <xf numFmtId="168" fontId="0" fillId="0" borderId="0" xfId="0" applyNumberFormat="1"/>
    <xf numFmtId="0" fontId="0" fillId="0" borderId="3" xfId="0" applyBorder="1"/>
    <xf numFmtId="168" fontId="6" fillId="0" borderId="3" xfId="0" applyNumberFormat="1" applyFont="1" applyBorder="1"/>
    <xf numFmtId="0" fontId="0" fillId="0" borderId="3" xfId="0" applyBorder="1" applyAlignment="1">
      <alignment horizontal="center"/>
    </xf>
    <xf numFmtId="169" fontId="0" fillId="0" borderId="0" xfId="1" applyNumberFormat="1" applyFont="1"/>
    <xf numFmtId="169" fontId="0" fillId="0" borderId="3" xfId="1" applyNumberFormat="1" applyFont="1" applyBorder="1"/>
    <xf numFmtId="0" fontId="9" fillId="0" borderId="0" xfId="0" applyFont="1"/>
    <xf numFmtId="0" fontId="6" fillId="0" borderId="0" xfId="0" applyFont="1"/>
    <xf numFmtId="169" fontId="6" fillId="0" borderId="0" xfId="1" applyNumberFormat="1" applyFont="1"/>
    <xf numFmtId="169" fontId="0" fillId="0" borderId="0" xfId="1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left"/>
    </xf>
    <xf numFmtId="169" fontId="0" fillId="3" borderId="0" xfId="1" applyNumberFormat="1" applyFont="1" applyFill="1" applyBorder="1" applyAlignment="1">
      <alignment horizontal="right"/>
    </xf>
    <xf numFmtId="0" fontId="9" fillId="3" borderId="10" xfId="0" applyFont="1" applyFill="1" applyBorder="1"/>
    <xf numFmtId="0" fontId="0" fillId="3" borderId="0" xfId="0" applyFill="1" applyBorder="1"/>
    <xf numFmtId="169" fontId="6" fillId="3" borderId="0" xfId="1" applyNumberFormat="1" applyFont="1" applyFill="1" applyBorder="1"/>
    <xf numFmtId="0" fontId="0" fillId="3" borderId="11" xfId="0" applyFill="1" applyBorder="1"/>
    <xf numFmtId="0" fontId="0" fillId="3" borderId="10" xfId="0" applyFill="1" applyBorder="1" applyAlignment="1">
      <alignment horizontal="left"/>
    </xf>
    <xf numFmtId="169" fontId="2" fillId="3" borderId="0" xfId="1" applyNumberFormat="1" applyFont="1" applyFill="1" applyBorder="1"/>
    <xf numFmtId="169" fontId="10" fillId="3" borderId="0" xfId="1" applyNumberFormat="1" applyFont="1" applyFill="1" applyBorder="1"/>
    <xf numFmtId="0" fontId="6" fillId="3" borderId="11" xfId="0" applyFont="1" applyFill="1" applyBorder="1"/>
    <xf numFmtId="0" fontId="11" fillId="3" borderId="11" xfId="0" applyFont="1" applyFill="1" applyBorder="1"/>
    <xf numFmtId="0" fontId="0" fillId="3" borderId="10" xfId="0" applyFill="1" applyBorder="1"/>
    <xf numFmtId="169" fontId="2" fillId="3" borderId="11" xfId="1" applyNumberFormat="1" applyFont="1" applyFill="1" applyBorder="1"/>
    <xf numFmtId="169" fontId="10" fillId="3" borderId="11" xfId="0" applyNumberFormat="1" applyFont="1" applyFill="1" applyBorder="1"/>
    <xf numFmtId="169" fontId="6" fillId="3" borderId="13" xfId="1" applyNumberFormat="1" applyFont="1" applyFill="1" applyBorder="1"/>
    <xf numFmtId="169" fontId="6" fillId="3" borderId="14" xfId="0" applyNumberFormat="1" applyFont="1" applyFill="1" applyBorder="1"/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169" fontId="0" fillId="0" borderId="16" xfId="1" applyNumberFormat="1" applyFont="1" applyBorder="1"/>
    <xf numFmtId="169" fontId="0" fillId="0" borderId="0" xfId="1" applyNumberFormat="1" applyFont="1" applyBorder="1"/>
    <xf numFmtId="3" fontId="6" fillId="0" borderId="3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6" fillId="0" borderId="20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169" fontId="0" fillId="0" borderId="21" xfId="1" applyNumberFormat="1" applyFont="1" applyBorder="1"/>
    <xf numFmtId="3" fontId="6" fillId="3" borderId="1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20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0" fillId="3" borderId="20" xfId="0" applyNumberFormat="1" applyFill="1" applyBorder="1"/>
    <xf numFmtId="3" fontId="11" fillId="3" borderId="21" xfId="0" applyNumberFormat="1" applyFont="1" applyFill="1" applyBorder="1"/>
    <xf numFmtId="0" fontId="0" fillId="3" borderId="3" xfId="0" applyFont="1" applyFill="1" applyBorder="1" applyAlignment="1">
      <alignment horizontal="center"/>
    </xf>
    <xf numFmtId="169" fontId="11" fillId="3" borderId="21" xfId="1" applyNumberFormat="1" applyFont="1" applyFill="1" applyBorder="1" applyAlignment="1">
      <alignment horizontal="right"/>
    </xf>
    <xf numFmtId="3" fontId="6" fillId="3" borderId="24" xfId="0" applyNumberFormat="1" applyFont="1" applyFill="1" applyBorder="1" applyAlignment="1">
      <alignment wrapText="1"/>
    </xf>
    <xf numFmtId="168" fontId="0" fillId="0" borderId="0" xfId="1" applyNumberFormat="1" applyFont="1" applyAlignment="1">
      <alignment horizontal="center"/>
    </xf>
    <xf numFmtId="168" fontId="0" fillId="0" borderId="0" xfId="1" applyNumberFormat="1" applyFont="1" applyAlignment="1"/>
    <xf numFmtId="168" fontId="6" fillId="0" borderId="3" xfId="1" applyNumberFormat="1" applyFont="1" applyBorder="1" applyAlignment="1">
      <alignment horizontal="center"/>
    </xf>
    <xf numFmtId="0" fontId="2" fillId="0" borderId="3" xfId="1" applyNumberFormat="1" applyFont="1" applyFill="1" applyBorder="1" applyAlignment="1">
      <alignment horizontal="center" vertical="center"/>
    </xf>
    <xf numFmtId="168" fontId="6" fillId="0" borderId="20" xfId="1" applyNumberFormat="1" applyFont="1" applyBorder="1" applyAlignment="1">
      <alignment horizontal="center"/>
    </xf>
    <xf numFmtId="168" fontId="6" fillId="0" borderId="21" xfId="1" applyNumberFormat="1" applyFont="1" applyBorder="1" applyAlignment="1">
      <alignment horizontal="center"/>
    </xf>
    <xf numFmtId="168" fontId="2" fillId="0" borderId="20" xfId="1" applyNumberFormat="1" applyFont="1" applyFill="1" applyBorder="1" applyAlignment="1">
      <alignment horizontal="left" vertical="center"/>
    </xf>
    <xf numFmtId="168" fontId="2" fillId="0" borderId="21" xfId="1" applyNumberFormat="1" applyFont="1" applyFill="1" applyBorder="1" applyAlignment="1">
      <alignment horizontal="center" vertical="center"/>
    </xf>
    <xf numFmtId="168" fontId="8" fillId="5" borderId="3" xfId="1" applyNumberFormat="1" applyFont="1" applyFill="1" applyBorder="1" applyAlignment="1">
      <alignment horizontal="center" vertical="center"/>
    </xf>
    <xf numFmtId="168" fontId="6" fillId="0" borderId="29" xfId="1" applyNumberFormat="1" applyFont="1" applyBorder="1" applyAlignment="1">
      <alignment horizontal="center" vertical="center" wrapText="1"/>
    </xf>
    <xf numFmtId="168" fontId="6" fillId="0" borderId="30" xfId="1" applyNumberFormat="1" applyFont="1" applyBorder="1" applyAlignment="1">
      <alignment horizontal="center" vertical="center" wrapText="1"/>
    </xf>
    <xf numFmtId="168" fontId="0" fillId="0" borderId="31" xfId="1" applyNumberFormat="1" applyFont="1" applyBorder="1"/>
    <xf numFmtId="168" fontId="0" fillId="0" borderId="31" xfId="1" applyNumberFormat="1" applyFont="1" applyBorder="1" applyAlignment="1">
      <alignment horizontal="center" vertical="center"/>
    </xf>
    <xf numFmtId="168" fontId="0" fillId="0" borderId="29" xfId="1" applyNumberFormat="1" applyFont="1" applyBorder="1" applyAlignment="1">
      <alignment horizontal="center" vertical="center"/>
    </xf>
    <xf numFmtId="168" fontId="6" fillId="0" borderId="33" xfId="1" applyNumberFormat="1" applyFont="1" applyFill="1" applyBorder="1" applyAlignment="1"/>
    <xf numFmtId="168" fontId="6" fillId="0" borderId="0" xfId="1" applyNumberFormat="1" applyFont="1" applyFill="1" applyBorder="1" applyAlignment="1">
      <alignment vertical="center"/>
    </xf>
    <xf numFmtId="168" fontId="0" fillId="0" borderId="0" xfId="1" applyNumberFormat="1" applyFont="1" applyBorder="1"/>
    <xf numFmtId="168" fontId="0" fillId="0" borderId="0" xfId="1" applyNumberFormat="1" applyFont="1" applyBorder="1" applyAlignment="1">
      <alignment horizontal="center" vertical="center" wrapText="1"/>
    </xf>
    <xf numFmtId="168" fontId="6" fillId="0" borderId="37" xfId="1" applyNumberFormat="1" applyFont="1" applyFill="1" applyBorder="1" applyAlignment="1">
      <alignment horizontal="center"/>
    </xf>
    <xf numFmtId="168" fontId="6" fillId="0" borderId="29" xfId="1" applyNumberFormat="1" applyFont="1" applyBorder="1" applyAlignment="1">
      <alignment horizontal="center" vertical="center"/>
    </xf>
    <xf numFmtId="168" fontId="0" fillId="0" borderId="29" xfId="1" applyNumberFormat="1" applyFont="1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6" xfId="0" applyBorder="1"/>
    <xf numFmtId="0" fontId="0" fillId="0" borderId="40" xfId="0" applyBorder="1"/>
    <xf numFmtId="169" fontId="0" fillId="0" borderId="23" xfId="1" applyNumberFormat="1" applyFont="1" applyBorder="1"/>
    <xf numFmtId="169" fontId="0" fillId="0" borderId="24" xfId="1" applyNumberFormat="1" applyFont="1" applyBorder="1"/>
    <xf numFmtId="168" fontId="0" fillId="0" borderId="20" xfId="1" applyNumberFormat="1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5" xfId="0" applyBorder="1"/>
    <xf numFmtId="0" fontId="0" fillId="0" borderId="15" xfId="0" applyBorder="1"/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9" fontId="0" fillId="0" borderId="27" xfId="1" applyNumberFormat="1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9" fontId="0" fillId="0" borderId="41" xfId="1" applyNumberFormat="1" applyFont="1" applyBorder="1"/>
    <xf numFmtId="168" fontId="0" fillId="0" borderId="21" xfId="0" applyNumberFormat="1" applyBorder="1"/>
    <xf numFmtId="168" fontId="0" fillId="0" borderId="22" xfId="0" applyNumberFormat="1" applyBorder="1"/>
    <xf numFmtId="9" fontId="0" fillId="5" borderId="23" xfId="2" applyFont="1" applyFill="1" applyBorder="1"/>
    <xf numFmtId="169" fontId="0" fillId="0" borderId="26" xfId="1" applyNumberFormat="1" applyFont="1" applyBorder="1"/>
    <xf numFmtId="169" fontId="0" fillId="0" borderId="14" xfId="1" applyNumberFormat="1" applyFont="1" applyBorder="1"/>
    <xf numFmtId="168" fontId="6" fillId="0" borderId="0" xfId="0" applyNumberFormat="1" applyFont="1"/>
    <xf numFmtId="0" fontId="6" fillId="0" borderId="10" xfId="0" applyFont="1" applyBorder="1"/>
    <xf numFmtId="169" fontId="0" fillId="0" borderId="11" xfId="1" applyNumberFormat="1" applyFont="1" applyBorder="1"/>
    <xf numFmtId="0" fontId="0" fillId="0" borderId="10" xfId="0" applyBorder="1"/>
    <xf numFmtId="169" fontId="6" fillId="0" borderId="11" xfId="1" applyNumberFormat="1" applyFont="1" applyBorder="1"/>
    <xf numFmtId="0" fontId="0" fillId="0" borderId="10" xfId="0" applyFont="1" applyBorder="1"/>
    <xf numFmtId="0" fontId="0" fillId="0" borderId="12" xfId="0" applyBorder="1"/>
    <xf numFmtId="168" fontId="0" fillId="0" borderId="45" xfId="1" applyNumberFormat="1" applyFont="1" applyBorder="1"/>
    <xf numFmtId="168" fontId="0" fillId="0" borderId="11" xfId="1" applyNumberFormat="1" applyFont="1" applyBorder="1"/>
    <xf numFmtId="0" fontId="6" fillId="0" borderId="12" xfId="0" applyFont="1" applyBorder="1"/>
    <xf numFmtId="169" fontId="6" fillId="0" borderId="14" xfId="1" applyNumberFormat="1" applyFont="1" applyBorder="1"/>
    <xf numFmtId="168" fontId="6" fillId="0" borderId="47" xfId="1" applyNumberFormat="1" applyFont="1" applyBorder="1" applyAlignment="1">
      <alignment horizontal="center" vertical="center" wrapText="1"/>
    </xf>
    <xf numFmtId="168" fontId="6" fillId="0" borderId="21" xfId="1" applyNumberFormat="1" applyFont="1" applyBorder="1" applyAlignment="1">
      <alignment horizontal="center" vertical="center" wrapText="1"/>
    </xf>
    <xf numFmtId="168" fontId="9" fillId="0" borderId="24" xfId="0" applyNumberFormat="1" applyFont="1" applyBorder="1"/>
    <xf numFmtId="3" fontId="0" fillId="0" borderId="23" xfId="0" applyNumberFormat="1" applyBorder="1"/>
    <xf numFmtId="3" fontId="0" fillId="0" borderId="23" xfId="0" applyNumberFormat="1" applyBorder="1" applyAlignment="1"/>
    <xf numFmtId="168" fontId="0" fillId="0" borderId="0" xfId="0" applyNumberFormat="1" applyFont="1"/>
    <xf numFmtId="168" fontId="13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0" fontId="0" fillId="5" borderId="3" xfId="0" applyNumberFormat="1" applyFill="1" applyBorder="1" applyAlignment="1">
      <alignment horizontal="center"/>
    </xf>
    <xf numFmtId="168" fontId="0" fillId="5" borderId="32" xfId="1" applyNumberFormat="1" applyFont="1" applyFill="1" applyBorder="1" applyAlignment="1">
      <alignment horizontal="center" vertical="center"/>
    </xf>
    <xf numFmtId="168" fontId="0" fillId="5" borderId="30" xfId="1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/>
    </xf>
    <xf numFmtId="168" fontId="0" fillId="0" borderId="0" xfId="1" applyNumberFormat="1" applyFont="1" applyAlignment="1">
      <alignment horizontal="center"/>
    </xf>
    <xf numFmtId="168" fontId="2" fillId="0" borderId="25" xfId="1" applyNumberFormat="1" applyFont="1" applyFill="1" applyBorder="1" applyAlignment="1">
      <alignment horizontal="left" vertical="center"/>
    </xf>
    <xf numFmtId="0" fontId="8" fillId="0" borderId="0" xfId="0" applyFont="1"/>
    <xf numFmtId="170" fontId="0" fillId="0" borderId="0" xfId="10" applyNumberFormat="1" applyFont="1"/>
    <xf numFmtId="0" fontId="6" fillId="0" borderId="3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169" fontId="0" fillId="0" borderId="0" xfId="0" applyNumberFormat="1"/>
    <xf numFmtId="0" fontId="6" fillId="0" borderId="3" xfId="0" applyFont="1" applyBorder="1" applyAlignment="1">
      <alignment horizontal="center"/>
    </xf>
    <xf numFmtId="169" fontId="0" fillId="5" borderId="3" xfId="1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9" fontId="6" fillId="5" borderId="3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 vertical="center"/>
    </xf>
    <xf numFmtId="168" fontId="6" fillId="0" borderId="3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/>
    <xf numFmtId="168" fontId="0" fillId="5" borderId="46" xfId="1" applyNumberFormat="1" applyFont="1" applyFill="1" applyBorder="1" applyAlignment="1">
      <alignment horizontal="center" vertical="center"/>
    </xf>
    <xf numFmtId="168" fontId="0" fillId="5" borderId="48" xfId="1" applyNumberFormat="1" applyFont="1" applyFill="1" applyBorder="1" applyAlignment="1">
      <alignment horizontal="center"/>
    </xf>
    <xf numFmtId="168" fontId="2" fillId="0" borderId="21" xfId="1" applyNumberFormat="1" applyBorder="1" applyAlignment="1">
      <alignment horizontal="center"/>
    </xf>
    <xf numFmtId="168" fontId="6" fillId="0" borderId="49" xfId="1" applyNumberFormat="1" applyFont="1" applyFill="1" applyBorder="1" applyAlignment="1">
      <alignment horizontal="center"/>
    </xf>
    <xf numFmtId="168" fontId="6" fillId="0" borderId="24" xfId="1" applyNumberFormat="1" applyFont="1" applyBorder="1" applyAlignment="1">
      <alignment horizontal="center"/>
    </xf>
    <xf numFmtId="168" fontId="6" fillId="0" borderId="3" xfId="1" applyNumberFormat="1" applyFont="1" applyFill="1" applyBorder="1" applyAlignment="1">
      <alignment horizontal="center"/>
    </xf>
    <xf numFmtId="168" fontId="6" fillId="0" borderId="3" xfId="1" applyNumberFormat="1" applyFont="1" applyBorder="1"/>
    <xf numFmtId="168" fontId="12" fillId="0" borderId="3" xfId="1" applyNumberFormat="1" applyFont="1" applyBorder="1"/>
    <xf numFmtId="168" fontId="0" fillId="0" borderId="52" xfId="1" applyNumberFormat="1" applyFont="1" applyFill="1" applyBorder="1" applyAlignment="1">
      <alignment horizontal="left" vertical="center"/>
    </xf>
    <xf numFmtId="0" fontId="2" fillId="0" borderId="15" xfId="1" applyNumberFormat="1" applyFont="1" applyFill="1" applyBorder="1" applyAlignment="1">
      <alignment horizontal="center" vertical="center"/>
    </xf>
    <xf numFmtId="168" fontId="2" fillId="0" borderId="3" xfId="1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53" xfId="0" applyNumberFormat="1" applyBorder="1" applyAlignment="1"/>
    <xf numFmtId="3" fontId="0" fillId="3" borderId="20" xfId="0" applyNumberFormat="1" applyFont="1" applyFill="1" applyBorder="1" applyAlignment="1">
      <alignment horizontal="left" vertical="center" wrapText="1"/>
    </xf>
    <xf numFmtId="171" fontId="0" fillId="5" borderId="3" xfId="0" applyNumberFormat="1" applyFill="1" applyBorder="1" applyAlignment="1">
      <alignment horizontal="center"/>
    </xf>
    <xf numFmtId="171" fontId="0" fillId="0" borderId="21" xfId="0" applyNumberFormat="1" applyBorder="1" applyAlignment="1">
      <alignment horizontal="center"/>
    </xf>
    <xf numFmtId="171" fontId="0" fillId="0" borderId="3" xfId="0" applyNumberFormat="1" applyBorder="1" applyAlignment="1">
      <alignment horizontal="center"/>
    </xf>
    <xf numFmtId="171" fontId="6" fillId="0" borderId="3" xfId="0" applyNumberFormat="1" applyFont="1" applyBorder="1" applyAlignment="1">
      <alignment horizontal="center"/>
    </xf>
    <xf numFmtId="171" fontId="0" fillId="5" borderId="3" xfId="0" applyNumberFormat="1" applyFont="1" applyFill="1" applyBorder="1" applyAlignment="1">
      <alignment horizontal="center" vertical="center" wrapText="1"/>
    </xf>
    <xf numFmtId="171" fontId="0" fillId="3" borderId="21" xfId="0" applyNumberFormat="1" applyFont="1" applyFill="1" applyBorder="1" applyAlignment="1">
      <alignment horizontal="center" vertical="center" wrapText="1"/>
    </xf>
    <xf numFmtId="169" fontId="0" fillId="3" borderId="21" xfId="1" applyNumberFormat="1" applyFont="1" applyFill="1" applyBorder="1" applyAlignment="1">
      <alignment horizontal="center"/>
    </xf>
    <xf numFmtId="171" fontId="0" fillId="3" borderId="21" xfId="0" applyNumberFormat="1" applyFont="1" applyFill="1" applyBorder="1" applyAlignment="1">
      <alignment horizontal="center"/>
    </xf>
    <xf numFmtId="169" fontId="0" fillId="0" borderId="26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9" fontId="0" fillId="0" borderId="21" xfId="1" applyNumberFormat="1" applyFont="1" applyBorder="1" applyAlignment="1">
      <alignment horizontal="center"/>
    </xf>
    <xf numFmtId="169" fontId="0" fillId="0" borderId="3" xfId="1" applyNumberFormat="1" applyFont="1" applyBorder="1" applyAlignment="1">
      <alignment horizontal="center"/>
    </xf>
    <xf numFmtId="169" fontId="6" fillId="3" borderId="14" xfId="0" applyNumberFormat="1" applyFont="1" applyFill="1" applyBorder="1" applyAlignment="1">
      <alignment horizontal="center"/>
    </xf>
    <xf numFmtId="172" fontId="0" fillId="7" borderId="3" xfId="0" applyNumberFormat="1" applyFill="1" applyBorder="1" applyAlignment="1">
      <alignment horizontal="center"/>
    </xf>
    <xf numFmtId="172" fontId="0" fillId="6" borderId="3" xfId="0" applyNumberFormat="1" applyFill="1" applyBorder="1" applyAlignment="1">
      <alignment horizontal="center"/>
    </xf>
    <xf numFmtId="172" fontId="0" fillId="0" borderId="3" xfId="0" applyNumberFormat="1" applyBorder="1" applyAlignment="1">
      <alignment horizontal="center"/>
    </xf>
    <xf numFmtId="172" fontId="0" fillId="7" borderId="26" xfId="0" applyNumberFormat="1" applyFill="1" applyBorder="1" applyAlignment="1">
      <alignment horizontal="center"/>
    </xf>
    <xf numFmtId="172" fontId="9" fillId="4" borderId="26" xfId="0" applyNumberFormat="1" applyFon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3" fontId="0" fillId="0" borderId="20" xfId="0" applyNumberFormat="1" applyBorder="1" applyAlignment="1">
      <alignment horizontal="left"/>
    </xf>
    <xf numFmtId="172" fontId="0" fillId="0" borderId="0" xfId="0" applyNumberFormat="1" applyBorder="1" applyAlignment="1">
      <alignment horizontal="center"/>
    </xf>
    <xf numFmtId="172" fontId="0" fillId="7" borderId="6" xfId="0" applyNumberFormat="1" applyFill="1" applyBorder="1" applyAlignment="1">
      <alignment horizontal="center"/>
    </xf>
    <xf numFmtId="172" fontId="0" fillId="7" borderId="15" xfId="0" applyNumberFormat="1" applyFill="1" applyBorder="1" applyAlignment="1">
      <alignment horizontal="center"/>
    </xf>
    <xf numFmtId="168" fontId="6" fillId="0" borderId="21" xfId="0" applyNumberFormat="1" applyFont="1" applyBorder="1"/>
    <xf numFmtId="172" fontId="0" fillId="0" borderId="21" xfId="0" applyNumberFormat="1" applyBorder="1" applyAlignment="1">
      <alignment horizontal="center"/>
    </xf>
    <xf numFmtId="172" fontId="0" fillId="0" borderId="54" xfId="0" applyNumberFormat="1" applyBorder="1" applyAlignment="1">
      <alignment horizontal="center"/>
    </xf>
    <xf numFmtId="168" fontId="6" fillId="7" borderId="6" xfId="0" applyNumberFormat="1" applyFont="1" applyFill="1" applyBorder="1" applyAlignment="1">
      <alignment horizontal="center"/>
    </xf>
    <xf numFmtId="168" fontId="6" fillId="7" borderId="3" xfId="0" applyNumberFormat="1" applyFont="1" applyFill="1" applyBorder="1" applyAlignment="1">
      <alignment horizontal="center"/>
    </xf>
    <xf numFmtId="172" fontId="0" fillId="5" borderId="32" xfId="1" applyNumberFormat="1" applyFont="1" applyFill="1" applyBorder="1" applyAlignment="1"/>
    <xf numFmtId="172" fontId="0" fillId="5" borderId="30" xfId="1" applyNumberFormat="1" applyFont="1" applyFill="1" applyBorder="1" applyAlignment="1"/>
    <xf numFmtId="172" fontId="0" fillId="0" borderId="46" xfId="1" applyNumberFormat="1" applyFont="1" applyBorder="1" applyAlignment="1"/>
    <xf numFmtId="172" fontId="6" fillId="0" borderId="34" xfId="1" applyNumberFormat="1" applyFont="1" applyFill="1" applyBorder="1" applyAlignment="1"/>
    <xf numFmtId="168" fontId="0" fillId="0" borderId="55" xfId="1" applyNumberFormat="1" applyFont="1" applyBorder="1"/>
    <xf numFmtId="172" fontId="0" fillId="5" borderId="56" xfId="1" applyNumberFormat="1" applyFont="1" applyFill="1" applyBorder="1"/>
    <xf numFmtId="168" fontId="6" fillId="0" borderId="6" xfId="1" applyNumberFormat="1" applyFont="1" applyBorder="1"/>
    <xf numFmtId="168" fontId="0" fillId="0" borderId="20" xfId="1" applyNumberFormat="1" applyFont="1" applyBorder="1"/>
    <xf numFmtId="172" fontId="0" fillId="5" borderId="21" xfId="1" applyNumberFormat="1" applyFont="1" applyFill="1" applyBorder="1"/>
    <xf numFmtId="172" fontId="0" fillId="0" borderId="21" xfId="1" applyNumberFormat="1" applyFont="1" applyBorder="1"/>
    <xf numFmtId="168" fontId="6" fillId="0" borderId="22" xfId="1" applyNumberFormat="1" applyFont="1" applyFill="1" applyBorder="1" applyAlignment="1">
      <alignment horizontal="center"/>
    </xf>
    <xf numFmtId="172" fontId="6" fillId="0" borderId="24" xfId="1" applyNumberFormat="1" applyFont="1" applyFill="1" applyBorder="1" applyAlignment="1"/>
    <xf numFmtId="0" fontId="6" fillId="6" borderId="20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169" fontId="6" fillId="6" borderId="3" xfId="1" applyNumberFormat="1" applyFont="1" applyFill="1" applyBorder="1" applyAlignment="1">
      <alignment horizontal="center"/>
    </xf>
    <xf numFmtId="169" fontId="6" fillId="6" borderId="21" xfId="1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69" fontId="12" fillId="0" borderId="3" xfId="1" applyNumberFormat="1" applyFont="1" applyBorder="1" applyAlignment="1">
      <alignment horizontal="center"/>
    </xf>
    <xf numFmtId="169" fontId="9" fillId="0" borderId="3" xfId="1" applyNumberFormat="1" applyFont="1" applyBorder="1" applyAlignment="1">
      <alignment horizontal="center"/>
    </xf>
    <xf numFmtId="168" fontId="0" fillId="0" borderId="9" xfId="1" applyNumberFormat="1" applyFont="1" applyBorder="1"/>
    <xf numFmtId="168" fontId="15" fillId="0" borderId="10" xfId="0" applyNumberFormat="1" applyFont="1" applyBorder="1" applyAlignment="1">
      <alignment horizontal="left" vertical="center"/>
    </xf>
    <xf numFmtId="168" fontId="0" fillId="0" borderId="0" xfId="0" applyNumberFormat="1" applyFont="1" applyBorder="1"/>
    <xf numFmtId="168" fontId="13" fillId="0" borderId="10" xfId="0" applyNumberFormat="1" applyFont="1" applyBorder="1" applyAlignment="1">
      <alignment vertical="center"/>
    </xf>
    <xf numFmtId="168" fontId="13" fillId="0" borderId="11" xfId="1" applyNumberFormat="1" applyFont="1" applyBorder="1" applyAlignment="1">
      <alignment vertical="center"/>
    </xf>
    <xf numFmtId="168" fontId="0" fillId="0" borderId="10" xfId="0" applyNumberFormat="1" applyFont="1" applyBorder="1"/>
    <xf numFmtId="168" fontId="14" fillId="0" borderId="10" xfId="0" applyNumberFormat="1" applyFont="1" applyBorder="1" applyAlignment="1">
      <alignment vertical="center"/>
    </xf>
    <xf numFmtId="168" fontId="0" fillId="0" borderId="10" xfId="0" applyNumberFormat="1" applyFont="1" applyBorder="1" applyAlignment="1">
      <alignment vertical="center"/>
    </xf>
    <xf numFmtId="168" fontId="6" fillId="0" borderId="11" xfId="1" applyNumberFormat="1" applyFont="1" applyBorder="1" applyAlignment="1">
      <alignment vertical="center"/>
    </xf>
    <xf numFmtId="168" fontId="0" fillId="0" borderId="10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vertical="center"/>
    </xf>
    <xf numFmtId="168" fontId="6" fillId="0" borderId="0" xfId="1" applyNumberFormat="1" applyFont="1" applyBorder="1"/>
    <xf numFmtId="168" fontId="6" fillId="0" borderId="10" xfId="0" applyNumberFormat="1" applyFont="1" applyBorder="1" applyAlignment="1">
      <alignment vertical="center"/>
    </xf>
    <xf numFmtId="168" fontId="0" fillId="0" borderId="11" xfId="1" applyNumberFormat="1" applyFont="1" applyBorder="1" applyAlignment="1">
      <alignment vertical="center"/>
    </xf>
    <xf numFmtId="168" fontId="6" fillId="0" borderId="0" xfId="0" applyNumberFormat="1" applyFont="1" applyBorder="1"/>
    <xf numFmtId="168" fontId="6" fillId="0" borderId="11" xfId="1" applyNumberFormat="1" applyFont="1" applyBorder="1"/>
    <xf numFmtId="168" fontId="6" fillId="0" borderId="13" xfId="1" applyNumberFormat="1" applyFont="1" applyBorder="1"/>
    <xf numFmtId="168" fontId="6" fillId="0" borderId="14" xfId="1" applyNumberFormat="1" applyFont="1" applyBorder="1"/>
    <xf numFmtId="169" fontId="0" fillId="3" borderId="0" xfId="1" applyNumberFormat="1" applyFont="1" applyFill="1" applyBorder="1"/>
    <xf numFmtId="0" fontId="0" fillId="0" borderId="53" xfId="0" applyBorder="1"/>
    <xf numFmtId="0" fontId="6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171" fontId="0" fillId="0" borderId="57" xfId="1" applyNumberFormat="1" applyFont="1" applyBorder="1"/>
    <xf numFmtId="171" fontId="0" fillId="0" borderId="16" xfId="1" applyNumberFormat="1" applyFont="1" applyBorder="1"/>
    <xf numFmtId="171" fontId="0" fillId="0" borderId="0" xfId="1" applyNumberFormat="1" applyFont="1"/>
    <xf numFmtId="171" fontId="0" fillId="0" borderId="43" xfId="1" applyNumberFormat="1" applyFont="1" applyBorder="1"/>
    <xf numFmtId="171" fontId="0" fillId="0" borderId="41" xfId="1" applyNumberFormat="1" applyFont="1" applyBorder="1"/>
    <xf numFmtId="171" fontId="0" fillId="0" borderId="44" xfId="1" applyNumberFormat="1" applyFont="1" applyBorder="1"/>
    <xf numFmtId="171" fontId="0" fillId="5" borderId="16" xfId="1" applyNumberFormat="1" applyFont="1" applyFill="1" applyBorder="1"/>
    <xf numFmtId="0" fontId="6" fillId="0" borderId="4" xfId="0" applyFont="1" applyBorder="1" applyAlignment="1">
      <alignment horizontal="center"/>
    </xf>
    <xf numFmtId="171" fontId="0" fillId="0" borderId="15" xfId="1" applyNumberFormat="1" applyFont="1" applyBorder="1"/>
    <xf numFmtId="171" fontId="0" fillId="0" borderId="0" xfId="1" applyNumberFormat="1" applyFont="1" applyBorder="1"/>
    <xf numFmtId="171" fontId="0" fillId="3" borderId="57" xfId="1" applyNumberFormat="1" applyFont="1" applyFill="1" applyBorder="1"/>
    <xf numFmtId="171" fontId="0" fillId="3" borderId="0" xfId="1" applyNumberFormat="1" applyFont="1" applyFill="1" applyBorder="1"/>
    <xf numFmtId="171" fontId="0" fillId="5" borderId="0" xfId="1" applyNumberFormat="1" applyFont="1" applyFill="1" applyBorder="1"/>
    <xf numFmtId="0" fontId="6" fillId="0" borderId="5" xfId="0" applyFont="1" applyBorder="1" applyAlignment="1">
      <alignment horizontal="center"/>
    </xf>
    <xf numFmtId="173" fontId="0" fillId="0" borderId="16" xfId="1" applyNumberFormat="1" applyFont="1" applyBorder="1"/>
    <xf numFmtId="173" fontId="0" fillId="0" borderId="0" xfId="1" applyNumberFormat="1" applyFont="1"/>
    <xf numFmtId="173" fontId="0" fillId="0" borderId="44" xfId="1" applyNumberFormat="1" applyFont="1" applyBorder="1"/>
    <xf numFmtId="171" fontId="6" fillId="0" borderId="5" xfId="0" applyNumberFormat="1" applyFont="1" applyBorder="1" applyAlignment="1">
      <alignment horizontal="center"/>
    </xf>
    <xf numFmtId="171" fontId="0" fillId="5" borderId="0" xfId="1" applyNumberFormat="1" applyFont="1" applyFill="1"/>
    <xf numFmtId="174" fontId="0" fillId="0" borderId="16" xfId="1" applyNumberFormat="1" applyFont="1" applyBorder="1"/>
    <xf numFmtId="174" fontId="0" fillId="0" borderId="0" xfId="1" applyNumberFormat="1" applyFont="1"/>
    <xf numFmtId="174" fontId="0" fillId="0" borderId="44" xfId="1" applyNumberFormat="1" applyFont="1" applyBorder="1"/>
    <xf numFmtId="174" fontId="0" fillId="5" borderId="16" xfId="1" applyNumberFormat="1" applyFont="1" applyFill="1" applyBorder="1"/>
    <xf numFmtId="174" fontId="0" fillId="5" borderId="0" xfId="1" applyNumberFormat="1" applyFont="1" applyFill="1"/>
    <xf numFmtId="168" fontId="16" fillId="3" borderId="0" xfId="1" applyNumberFormat="1" applyFont="1" applyFill="1" applyBorder="1" applyAlignment="1">
      <alignment vertical="center"/>
    </xf>
    <xf numFmtId="168" fontId="16" fillId="3" borderId="0" xfId="1" applyNumberFormat="1" applyFont="1" applyFill="1" applyBorder="1"/>
    <xf numFmtId="3" fontId="0" fillId="0" borderId="59" xfId="0" applyNumberFormat="1" applyBorder="1"/>
    <xf numFmtId="3" fontId="6" fillId="0" borderId="59" xfId="4" applyNumberFormat="1" applyFont="1" applyFill="1" applyBorder="1" applyAlignment="1"/>
    <xf numFmtId="168" fontId="0" fillId="0" borderId="10" xfId="0" applyNumberFormat="1" applyBorder="1"/>
    <xf numFmtId="168" fontId="0" fillId="0" borderId="0" xfId="0" applyNumberFormat="1" applyBorder="1"/>
    <xf numFmtId="168" fontId="0" fillId="0" borderId="11" xfId="0" applyNumberFormat="1" applyBorder="1"/>
    <xf numFmtId="168" fontId="10" fillId="0" borderId="10" xfId="0" applyNumberFormat="1" applyFont="1" applyBorder="1"/>
    <xf numFmtId="168" fontId="2" fillId="0" borderId="0" xfId="1" applyNumberFormat="1" applyBorder="1"/>
    <xf numFmtId="168" fontId="2" fillId="0" borderId="11" xfId="1" applyNumberFormat="1" applyBorder="1"/>
    <xf numFmtId="168" fontId="6" fillId="0" borderId="10" xfId="0" applyNumberFormat="1" applyFont="1" applyBorder="1"/>
    <xf numFmtId="168" fontId="6" fillId="0" borderId="11" xfId="0" applyNumberFormat="1" applyFont="1" applyBorder="1"/>
    <xf numFmtId="168" fontId="10" fillId="0" borderId="12" xfId="0" applyNumberFormat="1" applyFont="1" applyBorder="1"/>
    <xf numFmtId="168" fontId="6" fillId="0" borderId="13" xfId="0" applyNumberFormat="1" applyFont="1" applyBorder="1"/>
    <xf numFmtId="0" fontId="6" fillId="0" borderId="3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168" fontId="6" fillId="0" borderId="7" xfId="1" applyNumberFormat="1" applyFont="1" applyFill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68" fontId="6" fillId="0" borderId="9" xfId="1" applyNumberFormat="1" applyFont="1" applyFill="1" applyBorder="1" applyAlignment="1">
      <alignment horizontal="center"/>
    </xf>
    <xf numFmtId="168" fontId="6" fillId="0" borderId="50" xfId="1" applyNumberFormat="1" applyFont="1" applyFill="1" applyBorder="1" applyAlignment="1">
      <alignment horizontal="right" vertical="center"/>
    </xf>
    <xf numFmtId="168" fontId="6" fillId="0" borderId="51" xfId="1" applyNumberFormat="1" applyFont="1" applyFill="1" applyBorder="1" applyAlignment="1">
      <alignment horizontal="right" vertical="center"/>
    </xf>
    <xf numFmtId="168" fontId="6" fillId="0" borderId="40" xfId="1" applyNumberFormat="1" applyFont="1" applyFill="1" applyBorder="1" applyAlignment="1">
      <alignment horizontal="right" vertical="center"/>
    </xf>
    <xf numFmtId="168" fontId="12" fillId="0" borderId="17" xfId="1" applyNumberFormat="1" applyFont="1" applyBorder="1" applyAlignment="1">
      <alignment horizontal="center"/>
    </xf>
    <xf numFmtId="168" fontId="12" fillId="0" borderId="18" xfId="1" applyNumberFormat="1" applyFont="1" applyBorder="1" applyAlignment="1">
      <alignment horizontal="center"/>
    </xf>
    <xf numFmtId="168" fontId="12" fillId="0" borderId="19" xfId="1" applyNumberFormat="1" applyFont="1" applyBorder="1" applyAlignment="1">
      <alignment horizontal="center"/>
    </xf>
    <xf numFmtId="168" fontId="6" fillId="0" borderId="35" xfId="1" applyNumberFormat="1" applyFont="1" applyFill="1" applyBorder="1" applyAlignment="1">
      <alignment horizontal="center" vertical="center"/>
    </xf>
    <xf numFmtId="168" fontId="6" fillId="0" borderId="36" xfId="1" applyNumberFormat="1" applyFont="1" applyFill="1" applyBorder="1" applyAlignment="1">
      <alignment horizontal="center" vertical="center"/>
    </xf>
    <xf numFmtId="168" fontId="6" fillId="0" borderId="37" xfId="1" applyNumberFormat="1" applyFont="1" applyFill="1" applyBorder="1" applyAlignment="1">
      <alignment horizontal="left"/>
    </xf>
    <xf numFmtId="168" fontId="6" fillId="0" borderId="38" xfId="1" applyNumberFormat="1" applyFont="1" applyFill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 wrapText="1"/>
    </xf>
    <xf numFmtId="3" fontId="6" fillId="3" borderId="8" xfId="0" applyNumberFormat="1" applyFont="1" applyFill="1" applyBorder="1" applyAlignment="1">
      <alignment horizontal="center" wrapText="1"/>
    </xf>
    <xf numFmtId="3" fontId="6" fillId="3" borderId="9" xfId="0" applyNumberFormat="1" applyFont="1" applyFill="1" applyBorder="1" applyAlignment="1">
      <alignment horizontal="center" wrapText="1"/>
    </xf>
    <xf numFmtId="3" fontId="6" fillId="3" borderId="22" xfId="0" applyNumberFormat="1" applyFont="1" applyFill="1" applyBorder="1" applyAlignment="1">
      <alignment horizontal="right" wrapText="1"/>
    </xf>
    <xf numFmtId="3" fontId="6" fillId="3" borderId="23" xfId="0" applyNumberFormat="1" applyFont="1" applyFill="1" applyBorder="1" applyAlignment="1">
      <alignment horizontal="right" wrapText="1"/>
    </xf>
    <xf numFmtId="3" fontId="6" fillId="3" borderId="20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3" fontId="11" fillId="3" borderId="20" xfId="0" applyNumberFormat="1" applyFont="1" applyFill="1" applyBorder="1" applyAlignment="1">
      <alignment horizontal="left"/>
    </xf>
    <xf numFmtId="3" fontId="11" fillId="3" borderId="3" xfId="0" applyNumberFormat="1" applyFont="1" applyFill="1" applyBorder="1" applyAlignment="1">
      <alignment horizontal="left"/>
    </xf>
    <xf numFmtId="3" fontId="11" fillId="3" borderId="28" xfId="0" applyNumberFormat="1" applyFont="1" applyFill="1" applyBorder="1" applyAlignment="1">
      <alignment horizontal="left"/>
    </xf>
    <xf numFmtId="3" fontId="11" fillId="3" borderId="5" xfId="0" applyNumberFormat="1" applyFont="1" applyFill="1" applyBorder="1" applyAlignment="1">
      <alignment horizontal="left"/>
    </xf>
    <xf numFmtId="3" fontId="11" fillId="3" borderId="6" xfId="0" applyNumberFormat="1" applyFont="1" applyFill="1" applyBorder="1" applyAlignment="1">
      <alignment horizontal="left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8" fontId="6" fillId="0" borderId="22" xfId="0" applyNumberFormat="1" applyFont="1" applyBorder="1" applyAlignment="1">
      <alignment horizontal="center"/>
    </xf>
    <xf numFmtId="168" fontId="6" fillId="0" borderId="23" xfId="0" applyNumberFormat="1" applyFont="1" applyBorder="1" applyAlignment="1">
      <alignment horizontal="center"/>
    </xf>
    <xf numFmtId="168" fontId="6" fillId="0" borderId="42" xfId="0" applyNumberFormat="1" applyFont="1" applyBorder="1" applyAlignment="1">
      <alignment horizontal="center"/>
    </xf>
    <xf numFmtId="168" fontId="6" fillId="0" borderId="18" xfId="0" applyNumberFormat="1" applyFont="1" applyBorder="1" applyAlignment="1">
      <alignment horizontal="center" vertical="center"/>
    </xf>
    <xf numFmtId="168" fontId="6" fillId="0" borderId="19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68" fontId="6" fillId="6" borderId="3" xfId="0" applyNumberFormat="1" applyFont="1" applyFill="1" applyBorder="1" applyAlignment="1">
      <alignment horizontal="center" vertical="center"/>
    </xf>
    <xf numFmtId="168" fontId="6" fillId="7" borderId="3" xfId="0" applyNumberFormat="1" applyFont="1" applyFill="1" applyBorder="1" applyAlignment="1">
      <alignment horizontal="center" vertical="center"/>
    </xf>
    <xf numFmtId="168" fontId="6" fillId="7" borderId="5" xfId="0" applyNumberFormat="1" applyFont="1" applyFill="1" applyBorder="1" applyAlignment="1">
      <alignment horizontal="center"/>
    </xf>
    <xf numFmtId="168" fontId="6" fillId="7" borderId="6" xfId="0" applyNumberFormat="1" applyFont="1" applyFill="1" applyBorder="1" applyAlignment="1">
      <alignment horizontal="center"/>
    </xf>
    <xf numFmtId="168" fontId="6" fillId="0" borderId="35" xfId="1" applyNumberFormat="1" applyFont="1" applyFill="1" applyBorder="1" applyAlignment="1">
      <alignment horizontal="center"/>
    </xf>
    <xf numFmtId="168" fontId="6" fillId="0" borderId="36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8" fontId="6" fillId="0" borderId="17" xfId="0" applyNumberFormat="1" applyFont="1" applyBorder="1" applyAlignment="1">
      <alignment horizontal="center"/>
    </xf>
    <xf numFmtId="168" fontId="6" fillId="0" borderId="18" xfId="0" applyNumberFormat="1" applyFont="1" applyBorder="1" applyAlignment="1">
      <alignment horizontal="center"/>
    </xf>
    <xf numFmtId="168" fontId="6" fillId="0" borderId="19" xfId="0" applyNumberFormat="1" applyFont="1" applyBorder="1" applyAlignment="1">
      <alignment horizontal="center"/>
    </xf>
    <xf numFmtId="168" fontId="0" fillId="0" borderId="20" xfId="0" applyNumberFormat="1" applyBorder="1" applyAlignment="1">
      <alignment horizontal="left"/>
    </xf>
    <xf numFmtId="168" fontId="0" fillId="0" borderId="3" xfId="0" applyNumberFormat="1" applyBorder="1" applyAlignment="1">
      <alignment horizontal="left"/>
    </xf>
    <xf numFmtId="0" fontId="6" fillId="6" borderId="1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19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12" fillId="0" borderId="11" xfId="1" applyNumberFormat="1" applyFont="1" applyBorder="1" applyAlignment="1">
      <alignment horizontal="center" vertical="center"/>
    </xf>
    <xf numFmtId="1" fontId="12" fillId="0" borderId="14" xfId="1" applyNumberFormat="1" applyFont="1" applyBorder="1" applyAlignment="1">
      <alignment horizontal="center" vertical="center"/>
    </xf>
    <xf numFmtId="0" fontId="6" fillId="0" borderId="58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168" fontId="13" fillId="0" borderId="7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6" fillId="0" borderId="12" xfId="0" applyNumberFormat="1" applyFont="1" applyBorder="1" applyAlignment="1">
      <alignment horizontal="center" vertical="center"/>
    </xf>
    <xf numFmtId="168" fontId="6" fillId="0" borderId="13" xfId="0" applyNumberFormat="1" applyFont="1" applyBorder="1" applyAlignment="1">
      <alignment horizontal="center" vertical="center"/>
    </xf>
    <xf numFmtId="168" fontId="6" fillId="0" borderId="10" xfId="0" applyNumberFormat="1" applyFont="1" applyBorder="1" applyAlignment="1">
      <alignment horizontal="left" vertical="center"/>
    </xf>
    <xf numFmtId="168" fontId="6" fillId="0" borderId="0" xfId="0" applyNumberFormat="1" applyFont="1" applyBorder="1" applyAlignment="1">
      <alignment horizontal="left" vertical="center"/>
    </xf>
    <xf numFmtId="168" fontId="6" fillId="0" borderId="7" xfId="0" applyNumberFormat="1" applyFont="1" applyBorder="1" applyAlignment="1">
      <alignment horizontal="center"/>
    </xf>
    <xf numFmtId="168" fontId="6" fillId="0" borderId="8" xfId="0" applyNumberFormat="1" applyFont="1" applyBorder="1" applyAlignment="1">
      <alignment horizontal="center"/>
    </xf>
    <xf numFmtId="168" fontId="6" fillId="0" borderId="9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12" fillId="0" borderId="3" xfId="0" applyNumberFormat="1" applyFont="1" applyBorder="1" applyAlignment="1">
      <alignment horizontal="center" vertical="center" wrapText="1"/>
    </xf>
    <xf numFmtId="168" fontId="0" fillId="0" borderId="3" xfId="0" applyNumberFormat="1" applyBorder="1" applyAlignment="1">
      <alignment horizontal="center"/>
    </xf>
    <xf numFmtId="168" fontId="9" fillId="0" borderId="3" xfId="0" applyNumberFormat="1" applyFont="1" applyBorder="1" applyAlignment="1">
      <alignment horizontal="center"/>
    </xf>
  </cellXfs>
  <cellStyles count="11">
    <cellStyle name="cf1" xfId="3"/>
    <cellStyle name="Excel Built-in Currency" xfId="4"/>
    <cellStyle name="Excel Built-in Percent" xfId="5"/>
    <cellStyle name="Heading" xfId="6"/>
    <cellStyle name="Heading1" xfId="7"/>
    <cellStyle name="Millares" xfId="10" builtinId="3"/>
    <cellStyle name="Moneda" xfId="1" builtinId="4" customBuiltin="1"/>
    <cellStyle name="Normal" xfId="0" builtinId="0" customBuiltin="1"/>
    <cellStyle name="Porcentual" xfId="2" builtinId="5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9528</xdr:rowOff>
    </xdr:from>
    <xdr:ext cx="9528" cy="228600"/>
    <xdr:cxnSp macro="">
      <xdr:nvCxnSpPr>
        <xdr:cNvPr id="2" name="Conector recto 6"/>
        <xdr:cNvCxnSpPr/>
      </xdr:nvCxnSpPr>
      <xdr:spPr>
        <a:xfrm flipH="1">
          <a:off x="3838575" y="581028"/>
          <a:ext cx="9528" cy="228600"/>
        </a:xfrm>
        <a:prstGeom prst="straightConnector1">
          <a:avLst/>
        </a:prstGeom>
        <a:noFill/>
        <a:ln w="6345">
          <a:solidFill>
            <a:srgbClr val="000000"/>
          </a:solidFill>
          <a:prstDash val="solid"/>
          <a:miter/>
        </a:ln>
      </xdr:spPr>
    </xdr:cxn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E7" sqref="E7"/>
    </sheetView>
  </sheetViews>
  <sheetFormatPr baseColWidth="10" defaultRowHeight="15"/>
  <cols>
    <col min="1" max="1" width="18" bestFit="1" customWidth="1"/>
    <col min="2" max="2" width="15" bestFit="1" customWidth="1"/>
  </cols>
  <sheetData>
    <row r="2" spans="1:2">
      <c r="A2" s="275" t="s">
        <v>42</v>
      </c>
      <c r="B2" s="275"/>
    </row>
    <row r="3" spans="1:2">
      <c r="A3" s="140" t="s">
        <v>40</v>
      </c>
      <c r="B3" s="140" t="s">
        <v>41</v>
      </c>
    </row>
    <row r="4" spans="1:2">
      <c r="A4" s="14" t="s">
        <v>209</v>
      </c>
      <c r="B4" s="145">
        <v>1800000</v>
      </c>
    </row>
    <row r="5" spans="1:2">
      <c r="A5" s="14" t="s">
        <v>210</v>
      </c>
      <c r="B5" s="145">
        <v>1800000</v>
      </c>
    </row>
    <row r="6" spans="1:2">
      <c r="A6" s="14" t="s">
        <v>211</v>
      </c>
      <c r="B6" s="145">
        <v>1800000</v>
      </c>
    </row>
    <row r="7" spans="1:2">
      <c r="A7" s="14" t="s">
        <v>212</v>
      </c>
      <c r="B7" s="145">
        <v>1800000</v>
      </c>
    </row>
    <row r="8" spans="1:2">
      <c r="A8" s="146" t="s">
        <v>5</v>
      </c>
      <c r="B8" s="147">
        <f>SUM(B4:B7)</f>
        <v>7200000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O66"/>
  <sheetViews>
    <sheetView topLeftCell="B1" workbookViewId="0">
      <selection activeCell="E22" sqref="E22"/>
    </sheetView>
  </sheetViews>
  <sheetFormatPr baseColWidth="10" defaultRowHeight="15"/>
  <cols>
    <col min="2" max="2" width="15.5703125" customWidth="1"/>
    <col min="3" max="3" width="14.140625" customWidth="1"/>
    <col min="4" max="4" width="11.42578125" style="21"/>
    <col min="5" max="5" width="12.85546875" customWidth="1"/>
    <col min="6" max="6" width="15.7109375" customWidth="1"/>
    <col min="8" max="8" width="13.28515625" customWidth="1"/>
    <col min="9" max="9" width="19.140625" customWidth="1"/>
    <col min="12" max="12" width="14.5703125" customWidth="1"/>
  </cols>
  <sheetData>
    <row r="1" spans="2:15">
      <c r="J1" s="234"/>
      <c r="K1" s="234"/>
      <c r="L1" s="234"/>
    </row>
    <row r="2" spans="2:15" s="42" customFormat="1" ht="27.75" customHeight="1">
      <c r="B2" s="357" t="s">
        <v>51</v>
      </c>
      <c r="C2" s="357"/>
      <c r="D2" s="43"/>
      <c r="E2" s="357" t="s">
        <v>92</v>
      </c>
      <c r="F2" s="357"/>
      <c r="H2" s="358" t="s">
        <v>206</v>
      </c>
      <c r="I2" s="359"/>
      <c r="J2" s="43"/>
      <c r="K2" s="235"/>
      <c r="L2" s="235"/>
    </row>
    <row r="3" spans="2:15">
      <c r="B3" s="140" t="s">
        <v>48</v>
      </c>
      <c r="C3" s="140" t="s">
        <v>49</v>
      </c>
      <c r="D3" s="22"/>
      <c r="E3" s="140" t="s">
        <v>48</v>
      </c>
      <c r="F3" s="140" t="s">
        <v>49</v>
      </c>
      <c r="H3" s="144" t="s">
        <v>50</v>
      </c>
      <c r="I3" s="244" t="s">
        <v>49</v>
      </c>
      <c r="J3" s="21"/>
      <c r="K3" s="141"/>
      <c r="L3" s="141"/>
    </row>
    <row r="4" spans="2:15" s="15" customFormat="1">
      <c r="B4" s="238">
        <f>+'BALANCE INICIAL'!C7</f>
        <v>7200000</v>
      </c>
      <c r="C4" s="239">
        <f>+'CAUSACION MES 1'!D5</f>
        <v>655000</v>
      </c>
      <c r="D4" s="45"/>
      <c r="E4" s="238">
        <f>+'CAUSACION MES 1'!C51</f>
        <v>2415101.6</v>
      </c>
      <c r="F4" s="239">
        <f>+'CAUSACION MES 1'!D61</f>
        <v>300916.66666666669</v>
      </c>
      <c r="H4" s="245"/>
      <c r="I4" s="239">
        <f>+'BALANCE INICIAL'!C13</f>
        <v>1800000</v>
      </c>
      <c r="J4" s="21"/>
      <c r="K4" s="233"/>
      <c r="L4" s="233"/>
    </row>
    <row r="5" spans="2:15" s="15" customFormat="1">
      <c r="B5" s="238"/>
      <c r="C5" s="239">
        <f>+'CAUSACION MES 1'!D11</f>
        <v>1720000</v>
      </c>
      <c r="D5" s="45"/>
      <c r="E5" s="238"/>
      <c r="F5" s="239">
        <f>+'CAUSACION MES 1'!D67</f>
        <v>400648</v>
      </c>
      <c r="H5" s="238"/>
      <c r="I5" s="246">
        <f>+'BALANCE INICIAL'!C14</f>
        <v>1800000</v>
      </c>
      <c r="J5" s="45"/>
      <c r="K5" s="233"/>
      <c r="L5" s="233"/>
    </row>
    <row r="6" spans="2:15" s="15" customFormat="1" ht="15.75" thickBot="1">
      <c r="B6" s="240"/>
      <c r="C6" s="241">
        <f>+'CAUSACION MES 1'!D21</f>
        <v>1020000</v>
      </c>
      <c r="D6" s="45"/>
      <c r="E6" s="238"/>
      <c r="F6" s="239"/>
      <c r="H6" s="238"/>
      <c r="I6" s="246">
        <f>+'BALANCE INICIAL'!C15</f>
        <v>1800000</v>
      </c>
      <c r="J6" s="45"/>
      <c r="K6" s="233"/>
      <c r="L6" s="233"/>
    </row>
    <row r="7" spans="2:15" s="15" customFormat="1" ht="16.5" thickTop="1" thickBot="1">
      <c r="B7" s="242">
        <f>SUM(B4:B6)</f>
        <v>7200000</v>
      </c>
      <c r="C7" s="242">
        <f>SUM(C4:C6)</f>
        <v>3395000</v>
      </c>
      <c r="D7" s="45"/>
      <c r="E7" s="242">
        <f>SUM(E4:E6)</f>
        <v>2415101.6</v>
      </c>
      <c r="F7" s="242">
        <f>SUM(F4:F6)</f>
        <v>701564.66666666674</v>
      </c>
      <c r="H7" s="238"/>
      <c r="I7" s="246">
        <f>+'BALANCE INICIAL'!C16</f>
        <v>1800000</v>
      </c>
      <c r="J7" s="45"/>
      <c r="K7" s="233"/>
      <c r="L7" s="233"/>
    </row>
    <row r="8" spans="2:15" s="15" customFormat="1" ht="16.5" thickTop="1" thickBot="1">
      <c r="B8" s="243">
        <f>+IF(B7&gt;C7,B7-C7,"")</f>
        <v>3805000</v>
      </c>
      <c r="C8" s="239" t="str">
        <f>+IF(C7&gt;B7,C7-B7,"")</f>
        <v/>
      </c>
      <c r="D8" s="45"/>
      <c r="E8" s="243">
        <f>+IF(E7&gt;F7,E7-F7,"")</f>
        <v>1713536.9333333333</v>
      </c>
      <c r="F8" s="239" t="str">
        <f>+IF(F7&gt;E7,F7-E7,"")</f>
        <v/>
      </c>
      <c r="H8" s="237">
        <f>SUM(H4:H7)</f>
        <v>0</v>
      </c>
      <c r="I8" s="247">
        <f>SUM(I4:I7)</f>
        <v>7200000</v>
      </c>
      <c r="J8" s="45"/>
      <c r="K8" s="233"/>
      <c r="L8" s="233"/>
    </row>
    <row r="9" spans="2:15" s="15" customFormat="1" ht="15.75" thickTop="1">
      <c r="B9" s="44"/>
      <c r="D9" s="45"/>
      <c r="E9" s="44"/>
      <c r="H9" s="248"/>
      <c r="I9" s="249">
        <f>+IF(I8&gt;H8,I8-H8,"")</f>
        <v>7200000</v>
      </c>
      <c r="J9" s="45"/>
      <c r="K9" s="45"/>
      <c r="L9" s="45"/>
    </row>
    <row r="10" spans="2:15" s="21" customFormat="1"/>
    <row r="11" spans="2:15" s="97" customFormat="1" ht="27.75" customHeight="1">
      <c r="B11" s="357" t="s">
        <v>207</v>
      </c>
      <c r="C11" s="357"/>
      <c r="D11" s="98"/>
      <c r="E11" s="357" t="s">
        <v>52</v>
      </c>
      <c r="F11" s="357"/>
      <c r="H11" s="357" t="s">
        <v>59</v>
      </c>
      <c r="I11" s="357"/>
      <c r="K11" s="357" t="s">
        <v>60</v>
      </c>
      <c r="L11" s="357"/>
      <c r="N11" s="236"/>
      <c r="O11" s="236"/>
    </row>
    <row r="12" spans="2:15">
      <c r="B12" s="144" t="s">
        <v>48</v>
      </c>
      <c r="C12" s="144" t="s">
        <v>49</v>
      </c>
      <c r="D12" s="22"/>
      <c r="E12" s="144" t="s">
        <v>48</v>
      </c>
      <c r="F12" s="144" t="s">
        <v>49</v>
      </c>
      <c r="H12" s="144" t="s">
        <v>48</v>
      </c>
      <c r="I12" s="144" t="s">
        <v>49</v>
      </c>
      <c r="K12" s="144" t="s">
        <v>48</v>
      </c>
      <c r="L12" s="144" t="s">
        <v>49</v>
      </c>
      <c r="N12" s="22"/>
      <c r="O12" s="22"/>
    </row>
    <row r="13" spans="2:15" s="15" customFormat="1">
      <c r="B13" s="238">
        <f>+'CAUSACION MES 1'!C52</f>
        <v>1020000</v>
      </c>
      <c r="C13" s="239"/>
      <c r="D13" s="45"/>
      <c r="E13" s="238">
        <f>+'COMPRAS MES 1'!E20</f>
        <v>655000</v>
      </c>
      <c r="F13" s="239"/>
      <c r="H13" s="238">
        <f>+'CAUSACION MES 1'!C9</f>
        <v>1420000</v>
      </c>
      <c r="I13" s="239"/>
      <c r="K13" s="238">
        <f>+'COMPRAS MES 1'!E34</f>
        <v>300000</v>
      </c>
      <c r="L13" s="239"/>
      <c r="N13" s="45"/>
      <c r="O13" s="45"/>
    </row>
    <row r="14" spans="2:15" s="15" customFormat="1">
      <c r="B14" s="238"/>
      <c r="C14" s="239"/>
      <c r="D14" s="45"/>
      <c r="E14" s="238"/>
      <c r="F14" s="239"/>
      <c r="H14" s="238"/>
      <c r="I14" s="239"/>
      <c r="K14" s="238"/>
      <c r="L14" s="239"/>
      <c r="N14" s="45"/>
      <c r="O14" s="45"/>
    </row>
    <row r="15" spans="2:15" s="15" customFormat="1" ht="15.75" thickBot="1">
      <c r="B15" s="238"/>
      <c r="C15" s="239"/>
      <c r="D15" s="45"/>
      <c r="E15" s="238"/>
      <c r="F15" s="239"/>
      <c r="H15" s="238"/>
      <c r="I15" s="239"/>
      <c r="K15" s="238"/>
      <c r="L15" s="239"/>
      <c r="N15" s="45"/>
      <c r="O15" s="45"/>
    </row>
    <row r="16" spans="2:15" s="15" customFormat="1" ht="16.5" thickTop="1" thickBot="1">
      <c r="B16" s="242">
        <f>SUM(B13:B15)</f>
        <v>1020000</v>
      </c>
      <c r="C16" s="242">
        <f>SUM(C13:C15)</f>
        <v>0</v>
      </c>
      <c r="D16" s="45"/>
      <c r="E16" s="242">
        <f>SUM(E13:E15)</f>
        <v>655000</v>
      </c>
      <c r="F16" s="242">
        <f>SUM(F13:F15)</f>
        <v>0</v>
      </c>
      <c r="H16" s="242">
        <f>SUM(H13:H15)</f>
        <v>1420000</v>
      </c>
      <c r="I16" s="242">
        <f>SUM(I13:I15)</f>
        <v>0</v>
      </c>
      <c r="K16" s="242">
        <f>SUM(K13:K15)</f>
        <v>300000</v>
      </c>
      <c r="L16" s="242">
        <f>SUM(L13:L15)</f>
        <v>0</v>
      </c>
      <c r="N16" s="45"/>
      <c r="O16" s="45"/>
    </row>
    <row r="17" spans="2:15" s="15" customFormat="1" ht="15.75" thickTop="1">
      <c r="B17" s="243">
        <f>+IF(B16&gt;C16,B16-C16,"")</f>
        <v>1020000</v>
      </c>
      <c r="C17" s="239" t="str">
        <f>+IF(C16&gt;B16,C16-B16,"")</f>
        <v/>
      </c>
      <c r="D17" s="45"/>
      <c r="E17" s="243">
        <f>+IF(E16&gt;F16,E16-F16,"")</f>
        <v>655000</v>
      </c>
      <c r="F17" s="239" t="str">
        <f>+IF(F16&gt;E16,F16-E16,"")</f>
        <v/>
      </c>
      <c r="H17" s="243">
        <f>+IF(H16&gt;I16,H16-I16,"")</f>
        <v>1420000</v>
      </c>
      <c r="I17" s="239" t="str">
        <f>+IF(I16&gt;H16,I16-H16,"")</f>
        <v/>
      </c>
      <c r="K17" s="243">
        <f>+IF(K16&gt;L16,K16-L16,"")</f>
        <v>300000</v>
      </c>
      <c r="L17" s="239" t="str">
        <f>+IF(L16&gt;K16,L16-K16,"")</f>
        <v/>
      </c>
      <c r="N17" s="45"/>
      <c r="O17" s="233"/>
    </row>
    <row r="18" spans="2:15" s="15" customFormat="1">
      <c r="B18" s="45"/>
      <c r="C18" s="45"/>
      <c r="D18" s="45"/>
      <c r="E18" s="44"/>
      <c r="H18" s="44"/>
      <c r="K18" s="44"/>
      <c r="N18" s="45"/>
      <c r="O18" s="45"/>
    </row>
    <row r="19" spans="2:15" s="21" customFormat="1"/>
    <row r="20" spans="2:15" s="42" customFormat="1" ht="28.5" customHeight="1">
      <c r="B20" s="358" t="s">
        <v>196</v>
      </c>
      <c r="C20" s="358"/>
      <c r="D20" s="43"/>
      <c r="E20" s="358" t="s">
        <v>197</v>
      </c>
      <c r="F20" s="358"/>
      <c r="H20" s="357" t="s">
        <v>198</v>
      </c>
      <c r="I20" s="357"/>
      <c r="K20" s="358" t="s">
        <v>199</v>
      </c>
      <c r="L20" s="358"/>
    </row>
    <row r="21" spans="2:15">
      <c r="B21" s="144" t="s">
        <v>48</v>
      </c>
      <c r="C21" s="250" t="s">
        <v>49</v>
      </c>
      <c r="D21" s="22"/>
      <c r="E21" s="144" t="s">
        <v>48</v>
      </c>
      <c r="F21" s="144" t="s">
        <v>49</v>
      </c>
      <c r="H21" s="144" t="s">
        <v>48</v>
      </c>
      <c r="I21" s="144" t="s">
        <v>49</v>
      </c>
      <c r="K21" s="144" t="s">
        <v>48</v>
      </c>
      <c r="L21" s="144" t="s">
        <v>49</v>
      </c>
    </row>
    <row r="22" spans="2:15" s="15" customFormat="1">
      <c r="B22" s="238">
        <f>+'CAUSACION MES 1'!C15</f>
        <v>28000</v>
      </c>
      <c r="C22" s="239">
        <f>+'CAUSACION MES 1'!D25</f>
        <v>28000</v>
      </c>
      <c r="D22" s="45"/>
      <c r="E22" s="238">
        <f>+'CAUSACION MES 1'!C16</f>
        <v>640000</v>
      </c>
      <c r="F22" s="239">
        <f>+'CAUSACION MES 1'!D30</f>
        <v>640000</v>
      </c>
      <c r="H22" s="238">
        <f>+'CAUSACION MES 1'!C17</f>
        <v>36000</v>
      </c>
      <c r="I22" s="239">
        <f>+'CAUSACION MES 1'!D26</f>
        <v>36000</v>
      </c>
      <c r="K22" s="238">
        <f>+'CAUSACION MES 1'!C18</f>
        <v>104000</v>
      </c>
      <c r="L22" s="239">
        <f>+'CAUSACION MES 1'!D27</f>
        <v>104000</v>
      </c>
    </row>
    <row r="23" spans="2:15" s="15" customFormat="1">
      <c r="B23" s="238"/>
      <c r="C23" s="239"/>
      <c r="D23" s="45"/>
      <c r="E23" s="238"/>
      <c r="F23" s="239"/>
      <c r="H23" s="238"/>
      <c r="I23" s="239"/>
      <c r="K23" s="238"/>
      <c r="L23" s="239"/>
    </row>
    <row r="24" spans="2:15" s="15" customFormat="1" ht="15.75" thickBot="1">
      <c r="B24" s="238"/>
      <c r="C24" s="239"/>
      <c r="D24" s="45"/>
      <c r="E24" s="238"/>
      <c r="F24" s="239"/>
      <c r="H24" s="238"/>
      <c r="I24" s="239"/>
      <c r="K24" s="238"/>
      <c r="L24" s="239"/>
    </row>
    <row r="25" spans="2:15" s="15" customFormat="1" ht="16.5" thickTop="1" thickBot="1">
      <c r="B25" s="242">
        <f>SUM(B22:B24)</f>
        <v>28000</v>
      </c>
      <c r="C25" s="242">
        <f>SUM(C22:C24)</f>
        <v>28000</v>
      </c>
      <c r="D25" s="45"/>
      <c r="E25" s="242">
        <f>SUM(E22:E24)</f>
        <v>640000</v>
      </c>
      <c r="F25" s="242">
        <f>SUM(F22:F24)</f>
        <v>640000</v>
      </c>
      <c r="H25" s="242">
        <f>SUM(H22:H24)</f>
        <v>36000</v>
      </c>
      <c r="I25" s="242">
        <f>SUM(I22:I24)</f>
        <v>36000</v>
      </c>
      <c r="K25" s="242">
        <f>SUM(K22:K24)</f>
        <v>104000</v>
      </c>
      <c r="L25" s="242">
        <f>SUM(L22:L24)</f>
        <v>104000</v>
      </c>
    </row>
    <row r="26" spans="2:15" s="15" customFormat="1" ht="15.75" thickTop="1">
      <c r="B26" s="243" t="str">
        <f>+IF(B25&gt;C25,B25-C25,"")</f>
        <v/>
      </c>
      <c r="C26" s="239" t="str">
        <f>+IF(C25&gt;B25,C25-B25,"")</f>
        <v/>
      </c>
      <c r="D26" s="45"/>
      <c r="E26" s="243" t="str">
        <f>+IF(E25&gt;F25,E25-F25,"")</f>
        <v/>
      </c>
      <c r="F26" s="239" t="str">
        <f>+IF(F25&gt;E25,F25-E25,"")</f>
        <v/>
      </c>
      <c r="H26" s="243" t="str">
        <f>+IF(H25&gt;I25,H25-I25,"")</f>
        <v/>
      </c>
      <c r="I26" s="239" t="str">
        <f>+IF(I25&gt;H25,I25-H25,"")</f>
        <v/>
      </c>
      <c r="K26" s="243" t="str">
        <f>+IF(K25&gt;L25,K25-L25,"")</f>
        <v/>
      </c>
      <c r="L26" s="239" t="str">
        <f>+IF(L25&gt;K25,L25-K25,"")</f>
        <v/>
      </c>
    </row>
    <row r="27" spans="2:15" s="15" customFormat="1">
      <c r="B27" s="44"/>
      <c r="D27" s="45"/>
      <c r="E27" s="44"/>
      <c r="H27" s="44"/>
      <c r="K27" s="44"/>
    </row>
    <row r="29" spans="2:15" s="100" customFormat="1" ht="33" customHeight="1">
      <c r="B29" s="357" t="s">
        <v>200</v>
      </c>
      <c r="C29" s="357"/>
      <c r="D29" s="98"/>
      <c r="E29" s="357" t="s">
        <v>201</v>
      </c>
      <c r="F29" s="357"/>
      <c r="G29" s="101"/>
      <c r="H29" s="357" t="s">
        <v>76</v>
      </c>
      <c r="I29" s="357"/>
      <c r="J29" s="101"/>
      <c r="K29" s="357" t="s">
        <v>77</v>
      </c>
      <c r="L29" s="357"/>
    </row>
    <row r="30" spans="2:15">
      <c r="B30" s="144" t="s">
        <v>48</v>
      </c>
      <c r="C30" s="250" t="s">
        <v>49</v>
      </c>
      <c r="D30" s="22"/>
      <c r="E30" s="144" t="s">
        <v>48</v>
      </c>
      <c r="F30" s="144" t="s">
        <v>49</v>
      </c>
      <c r="H30" s="144" t="s">
        <v>48</v>
      </c>
      <c r="I30" s="144" t="s">
        <v>49</v>
      </c>
      <c r="K30" s="144" t="s">
        <v>48</v>
      </c>
      <c r="L30" s="144" t="s">
        <v>49</v>
      </c>
    </row>
    <row r="31" spans="2:15">
      <c r="B31" s="238">
        <f>+'CAUSACION MES 1'!C19</f>
        <v>52000</v>
      </c>
      <c r="C31" s="239">
        <f>+'CAUSACION MES 1'!D28</f>
        <v>52000</v>
      </c>
      <c r="D31" s="45"/>
      <c r="E31" s="238">
        <f>+'CAUSACION MES 1'!C20</f>
        <v>160000</v>
      </c>
      <c r="F31" s="239">
        <f>+'CAUSACION MES 1'!D29</f>
        <v>160000</v>
      </c>
      <c r="G31" s="15"/>
      <c r="H31" s="238">
        <f>+'CAUSACION MES 1'!C53</f>
        <v>400000</v>
      </c>
      <c r="I31" s="239"/>
      <c r="J31" s="15"/>
      <c r="K31" s="238">
        <f>+'CAUSACION MES 1'!C54</f>
        <v>648</v>
      </c>
      <c r="L31" s="239"/>
    </row>
    <row r="32" spans="2:15">
      <c r="B32" s="238"/>
      <c r="C32" s="239"/>
      <c r="D32" s="45"/>
      <c r="E32" s="238"/>
      <c r="F32" s="239"/>
      <c r="G32" s="15"/>
      <c r="H32" s="238"/>
      <c r="I32" s="239"/>
      <c r="J32" s="15"/>
      <c r="K32" s="238"/>
      <c r="L32" s="239"/>
    </row>
    <row r="33" spans="2:12" ht="15.75" thickBot="1">
      <c r="B33" s="238"/>
      <c r="C33" s="239"/>
      <c r="D33" s="45"/>
      <c r="E33" s="238"/>
      <c r="F33" s="239"/>
      <c r="G33" s="15"/>
      <c r="H33" s="238"/>
      <c r="I33" s="239"/>
      <c r="J33" s="15"/>
      <c r="K33" s="238"/>
      <c r="L33" s="239"/>
    </row>
    <row r="34" spans="2:12" ht="16.5" thickTop="1" thickBot="1">
      <c r="B34" s="242">
        <f>SUM(B31:B33)</f>
        <v>52000</v>
      </c>
      <c r="C34" s="242">
        <f>SUM(C31:C33)</f>
        <v>52000</v>
      </c>
      <c r="D34" s="45"/>
      <c r="E34" s="242">
        <f>SUM(E31:E33)</f>
        <v>160000</v>
      </c>
      <c r="F34" s="242">
        <f>SUM(F31:F33)</f>
        <v>160000</v>
      </c>
      <c r="G34" s="15"/>
      <c r="H34" s="242">
        <f>SUM(H31:H33)</f>
        <v>400000</v>
      </c>
      <c r="I34" s="242">
        <f>SUM(I31:I33)</f>
        <v>0</v>
      </c>
      <c r="J34" s="15"/>
      <c r="K34" s="242">
        <f>SUM(K31:K33)</f>
        <v>648</v>
      </c>
      <c r="L34" s="242">
        <f>SUM(L31:L33)</f>
        <v>0</v>
      </c>
    </row>
    <row r="35" spans="2:12" ht="15.75" thickTop="1">
      <c r="B35" s="243" t="str">
        <f>+IF(B34&gt;C34,B34-C34,"")</f>
        <v/>
      </c>
      <c r="C35" s="239" t="str">
        <f>+IF(C34&gt;B34,C34-B34,"")</f>
        <v/>
      </c>
      <c r="D35" s="45"/>
      <c r="E35" s="243" t="str">
        <f>+IF(E34&gt;F34,E34-F34,"")</f>
        <v/>
      </c>
      <c r="F35" s="239" t="str">
        <f>+E35</f>
        <v/>
      </c>
      <c r="G35" s="15"/>
      <c r="H35" s="243">
        <f>+IF(H34&gt;I34,H34-I34,"")</f>
        <v>400000</v>
      </c>
      <c r="I35" s="239"/>
      <c r="J35" s="15"/>
      <c r="K35" s="243">
        <f>+IF(K34&gt;L34,K34-L34,"")</f>
        <v>648</v>
      </c>
      <c r="L35" s="239">
        <f>+K35</f>
        <v>648</v>
      </c>
    </row>
    <row r="36" spans="2:12">
      <c r="B36" s="44"/>
      <c r="C36" s="15"/>
      <c r="D36" s="45"/>
      <c r="E36" s="44"/>
      <c r="F36" s="15"/>
      <c r="G36" s="15"/>
      <c r="H36" s="44"/>
      <c r="I36" s="15"/>
      <c r="J36" s="15"/>
      <c r="K36" s="44"/>
      <c r="L36" s="15"/>
    </row>
    <row r="38" spans="2:12" s="99" customFormat="1" ht="27" customHeight="1">
      <c r="B38" s="357" t="s">
        <v>78</v>
      </c>
      <c r="C38" s="357"/>
      <c r="D38" s="98"/>
      <c r="E38" s="357" t="s">
        <v>88</v>
      </c>
      <c r="F38" s="357"/>
      <c r="G38" s="101"/>
      <c r="H38" s="357" t="s">
        <v>203</v>
      </c>
      <c r="I38" s="357"/>
      <c r="J38" s="101"/>
      <c r="K38" s="357" t="s">
        <v>204</v>
      </c>
      <c r="L38" s="357"/>
    </row>
    <row r="39" spans="2:12">
      <c r="B39" s="144" t="s">
        <v>48</v>
      </c>
      <c r="C39" s="250" t="s">
        <v>49</v>
      </c>
      <c r="D39" s="22"/>
      <c r="E39" s="144" t="s">
        <v>48</v>
      </c>
      <c r="F39" s="144" t="s">
        <v>49</v>
      </c>
      <c r="H39" s="144" t="s">
        <v>48</v>
      </c>
      <c r="I39" s="144" t="s">
        <v>49</v>
      </c>
      <c r="K39" s="144" t="s">
        <v>48</v>
      </c>
      <c r="L39" s="144" t="s">
        <v>49</v>
      </c>
    </row>
    <row r="40" spans="2:12">
      <c r="B40" s="238">
        <f>+'CAUSACION MES 1'!C65</f>
        <v>400000</v>
      </c>
      <c r="C40" s="239">
        <f>+'CAUSACION MES 1'!D35</f>
        <v>400000</v>
      </c>
      <c r="D40" s="45"/>
      <c r="E40" s="238">
        <f>+'CAUSACION MES 1'!C66</f>
        <v>648</v>
      </c>
      <c r="F40" s="239">
        <f>+'CAUSACION MES 1'!D40</f>
        <v>648</v>
      </c>
      <c r="G40" s="15"/>
      <c r="H40" s="251">
        <f>+'CAUSACION MES 1'!C31</f>
        <v>1020000</v>
      </c>
      <c r="I40" s="252">
        <f>+'CAUSACION MES 1'!D45</f>
        <v>1420648</v>
      </c>
      <c r="J40" s="15"/>
      <c r="K40" s="238">
        <f>+'CAUSACION MES 1'!C46</f>
        <v>1420648</v>
      </c>
      <c r="L40" s="239">
        <f>+'CAUSACION MES 1'!D55</f>
        <v>1420648</v>
      </c>
    </row>
    <row r="41" spans="2:12">
      <c r="B41" s="238"/>
      <c r="C41" s="239"/>
      <c r="D41" s="45"/>
      <c r="E41" s="238"/>
      <c r="F41" s="239"/>
      <c r="G41" s="15"/>
      <c r="H41" s="251">
        <f>+'CAUSACION MES 1'!C36</f>
        <v>400000</v>
      </c>
      <c r="I41" s="252"/>
      <c r="J41" s="15"/>
      <c r="K41" s="238"/>
      <c r="L41" s="239"/>
    </row>
    <row r="42" spans="2:12" ht="15.75" thickBot="1">
      <c r="B42" s="238"/>
      <c r="C42" s="239"/>
      <c r="D42" s="45"/>
      <c r="E42" s="238"/>
      <c r="F42" s="239"/>
      <c r="G42" s="15"/>
      <c r="H42" s="251">
        <f>+'CAUSACION MES 1'!D40</f>
        <v>648</v>
      </c>
      <c r="I42" s="252"/>
      <c r="J42" s="15"/>
      <c r="K42" s="238"/>
      <c r="L42" s="239"/>
    </row>
    <row r="43" spans="2:12" ht="16.5" thickTop="1" thickBot="1">
      <c r="B43" s="242">
        <f>SUM(B40:B42)</f>
        <v>400000</v>
      </c>
      <c r="C43" s="242">
        <f>SUM(C40:C42)</f>
        <v>400000</v>
      </c>
      <c r="D43" s="45"/>
      <c r="E43" s="242">
        <f>SUM(E40:E42)</f>
        <v>648</v>
      </c>
      <c r="F43" s="242">
        <f>SUM(F40:F42)</f>
        <v>648</v>
      </c>
      <c r="G43" s="15"/>
      <c r="H43" s="253">
        <f>SUM(H40:H42)</f>
        <v>1420648</v>
      </c>
      <c r="I43" s="253">
        <f>SUM(I40:I42)</f>
        <v>1420648</v>
      </c>
      <c r="J43" s="15"/>
      <c r="K43" s="242">
        <f>SUM(K40:K42)</f>
        <v>1420648</v>
      </c>
      <c r="L43" s="242">
        <f>SUM(L40:L42)</f>
        <v>1420648</v>
      </c>
    </row>
    <row r="44" spans="2:12" ht="15.75" thickTop="1">
      <c r="B44" s="238" t="str">
        <f>+IF(B43&gt;C43,B43-C43,"")</f>
        <v/>
      </c>
      <c r="C44" s="239">
        <f>+C43-B43</f>
        <v>0</v>
      </c>
      <c r="D44" s="45"/>
      <c r="E44" s="238" t="str">
        <f>+IF(E43&gt;F43,E43-F43,"")</f>
        <v/>
      </c>
      <c r="F44" s="239">
        <v>0</v>
      </c>
      <c r="G44" s="15"/>
      <c r="H44" s="251" t="str">
        <f>+IF(H43&gt;I43,H43-I43,"")</f>
        <v/>
      </c>
      <c r="I44" s="252" t="str">
        <f>+IF(I43&gt;H43,I43-H43,"")</f>
        <v/>
      </c>
      <c r="J44" s="15"/>
      <c r="K44" s="238" t="str">
        <f>+IF(K43&gt;L43,K43-L43,"")</f>
        <v/>
      </c>
      <c r="L44" s="239" t="str">
        <f>+IF(L43&gt;K43,L43-K43,"")</f>
        <v/>
      </c>
    </row>
    <row r="45" spans="2:12">
      <c r="B45" s="44"/>
      <c r="C45" s="15"/>
      <c r="D45" s="45"/>
      <c r="E45" s="44"/>
      <c r="F45" s="15"/>
      <c r="G45" s="15"/>
      <c r="H45" s="44"/>
      <c r="I45" s="15"/>
      <c r="J45" s="15"/>
      <c r="K45" s="44"/>
      <c r="L45" s="15"/>
    </row>
    <row r="47" spans="2:12">
      <c r="B47" s="357" t="s">
        <v>91</v>
      </c>
      <c r="C47" s="357"/>
      <c r="D47" s="98"/>
      <c r="E47" s="357" t="s">
        <v>95</v>
      </c>
      <c r="F47" s="357"/>
      <c r="G47" s="101"/>
      <c r="H47" s="357" t="s">
        <v>96</v>
      </c>
      <c r="I47" s="357"/>
      <c r="J47" s="101"/>
      <c r="K47" s="357" t="s">
        <v>130</v>
      </c>
      <c r="L47" s="357"/>
    </row>
    <row r="48" spans="2:12">
      <c r="B48" s="169" t="s">
        <v>48</v>
      </c>
      <c r="C48" s="254" t="s">
        <v>49</v>
      </c>
      <c r="D48" s="22"/>
      <c r="E48" s="144" t="s">
        <v>48</v>
      </c>
      <c r="F48" s="144" t="s">
        <v>49</v>
      </c>
      <c r="H48" s="144" t="s">
        <v>48</v>
      </c>
      <c r="I48" s="144" t="s">
        <v>49</v>
      </c>
      <c r="K48" s="144" t="s">
        <v>48</v>
      </c>
      <c r="L48" s="144" t="s">
        <v>49</v>
      </c>
    </row>
    <row r="49" spans="2:12">
      <c r="B49" s="238"/>
      <c r="C49" s="239">
        <f>+'CAUSACION MES 1'!D50</f>
        <v>2415101.6</v>
      </c>
      <c r="D49" s="45"/>
      <c r="E49" s="238">
        <f>+'CAUSACION MES 1'!C59+'CAUSACION MES 1'!C72</f>
        <v>100916.66666666666</v>
      </c>
      <c r="F49" s="239"/>
      <c r="G49" s="15"/>
      <c r="H49" s="238">
        <f>+'CAUSACION MES 1'!C60+'CAUSACION MES 1'!C73</f>
        <v>210916.66666666669</v>
      </c>
      <c r="I49" s="239"/>
      <c r="J49" s="15"/>
      <c r="K49" s="238"/>
      <c r="L49" s="239">
        <f>+'CAUSACION MES 1'!D71</f>
        <v>10916.666666666664</v>
      </c>
    </row>
    <row r="50" spans="2:12">
      <c r="B50" s="238"/>
      <c r="C50" s="239"/>
      <c r="D50" s="45"/>
      <c r="E50" s="238"/>
      <c r="F50" s="239"/>
      <c r="G50" s="15"/>
      <c r="H50" s="238"/>
      <c r="I50" s="239"/>
      <c r="J50" s="15"/>
      <c r="K50" s="238"/>
      <c r="L50" s="239"/>
    </row>
    <row r="51" spans="2:12" ht="15.75" thickBot="1">
      <c r="B51" s="238"/>
      <c r="C51" s="239"/>
      <c r="D51" s="45"/>
      <c r="E51" s="238"/>
      <c r="F51" s="239"/>
      <c r="G51" s="15"/>
      <c r="H51" s="238"/>
      <c r="I51" s="239"/>
      <c r="J51" s="15"/>
      <c r="K51" s="238"/>
      <c r="L51" s="239"/>
    </row>
    <row r="52" spans="2:12" ht="16.5" thickTop="1" thickBot="1">
      <c r="B52" s="242">
        <f>SUM(B49:B51)</f>
        <v>0</v>
      </c>
      <c r="C52" s="242">
        <f>SUM(C49:C51)</f>
        <v>2415101.6</v>
      </c>
      <c r="D52" s="45"/>
      <c r="E52" s="242">
        <f>SUM(E49:E51)</f>
        <v>100916.66666666666</v>
      </c>
      <c r="F52" s="242">
        <f>SUM(F49:F51)</f>
        <v>0</v>
      </c>
      <c r="G52" s="15"/>
      <c r="H52" s="242">
        <f>SUM(H49:H51)</f>
        <v>210916.66666666669</v>
      </c>
      <c r="I52" s="242">
        <f>SUM(I49:I51)</f>
        <v>0</v>
      </c>
      <c r="J52" s="15"/>
      <c r="K52" s="242">
        <f>SUM(K49:K51)</f>
        <v>0</v>
      </c>
      <c r="L52" s="242">
        <f>SUM(L49:L51)</f>
        <v>10916.666666666664</v>
      </c>
    </row>
    <row r="53" spans="2:12" ht="15.75" thickTop="1">
      <c r="B53" s="238">
        <f>+C53</f>
        <v>2415101.6</v>
      </c>
      <c r="C53" s="255">
        <f>+IF(C52&gt;B52,C52-B52,"")</f>
        <v>2415101.6</v>
      </c>
      <c r="D53" s="45"/>
      <c r="E53" s="243">
        <f>+IF(E52&gt;F52,E52-F52,"")</f>
        <v>100916.66666666666</v>
      </c>
      <c r="F53" s="239">
        <f>+E53</f>
        <v>100916.66666666666</v>
      </c>
      <c r="G53" s="15"/>
      <c r="H53" s="243">
        <f>+IF(H52&gt;I52,H52-I52,"")</f>
        <v>210916.66666666669</v>
      </c>
      <c r="I53" s="239">
        <f>+H53</f>
        <v>210916.66666666669</v>
      </c>
      <c r="J53" s="15"/>
      <c r="K53" s="243" t="str">
        <f>+IF(K52&gt;L52,K52-L52,"")</f>
        <v/>
      </c>
      <c r="L53" s="239" t="str">
        <f>+K53</f>
        <v/>
      </c>
    </row>
    <row r="54" spans="2:12">
      <c r="B54" s="44"/>
      <c r="C54" s="15"/>
      <c r="D54" s="45"/>
      <c r="E54" s="44"/>
      <c r="F54" s="15"/>
      <c r="G54" s="15"/>
      <c r="H54" s="44"/>
      <c r="I54" s="15"/>
      <c r="J54" s="15"/>
      <c r="K54" s="44"/>
      <c r="L54" s="15"/>
    </row>
    <row r="57" spans="2:12">
      <c r="F57" s="357" t="s">
        <v>116</v>
      </c>
      <c r="G57" s="357"/>
      <c r="I57" s="357" t="s">
        <v>117</v>
      </c>
      <c r="J57" s="357"/>
    </row>
    <row r="58" spans="2:12">
      <c r="F58" s="14" t="s">
        <v>48</v>
      </c>
      <c r="G58" s="14" t="s">
        <v>49</v>
      </c>
      <c r="I58" s="14" t="s">
        <v>48</v>
      </c>
      <c r="J58" s="14" t="s">
        <v>49</v>
      </c>
    </row>
    <row r="59" spans="2:12">
      <c r="F59" s="256">
        <f>+F53</f>
        <v>100916.66666666666</v>
      </c>
      <c r="G59" s="257">
        <f>+B53</f>
        <v>2415101.6</v>
      </c>
      <c r="I59" s="238"/>
      <c r="J59" s="239">
        <f>+F65</f>
        <v>682620.2666666666</v>
      </c>
    </row>
    <row r="60" spans="2:12">
      <c r="F60" s="256">
        <f>+I53</f>
        <v>210916.66666666669</v>
      </c>
      <c r="G60" s="257"/>
      <c r="I60" s="238"/>
      <c r="J60" s="239"/>
    </row>
    <row r="61" spans="2:12" ht="15.75" thickBot="1">
      <c r="F61" s="256">
        <f>+B16</f>
        <v>1020000</v>
      </c>
      <c r="G61" s="257"/>
      <c r="I61" s="238"/>
      <c r="J61" s="239"/>
    </row>
    <row r="62" spans="2:12" ht="16.5" thickTop="1" thickBot="1">
      <c r="F62" s="256">
        <f>+H34</f>
        <v>400000</v>
      </c>
      <c r="G62" s="257"/>
      <c r="I62" s="242">
        <f>SUM(I59:I61)</f>
        <v>0</v>
      </c>
      <c r="J62" s="242">
        <f>SUM(J59:J61)</f>
        <v>682620.2666666666</v>
      </c>
    </row>
    <row r="63" spans="2:12" ht="16.5" thickTop="1" thickBot="1">
      <c r="F63" s="256">
        <f>+L35</f>
        <v>648</v>
      </c>
      <c r="G63" s="257"/>
      <c r="I63" s="238" t="str">
        <f>+IF(I62&gt;J62,I62-J62,"")</f>
        <v/>
      </c>
      <c r="J63" s="255">
        <f>+IF(J62&gt;I62,J62-I62,"")</f>
        <v>682620.2666666666</v>
      </c>
    </row>
    <row r="64" spans="2:12" ht="16.5" thickTop="1" thickBot="1">
      <c r="F64" s="258">
        <f>SUM(F59:F63)</f>
        <v>1732481.3333333335</v>
      </c>
      <c r="G64" s="258">
        <f>SUM(G59:G63)</f>
        <v>2415101.6</v>
      </c>
      <c r="I64" s="44"/>
      <c r="J64" s="15"/>
    </row>
    <row r="65" spans="6:7" ht="15.75" thickTop="1">
      <c r="F65" s="259">
        <f>+G65</f>
        <v>682620.2666666666</v>
      </c>
      <c r="G65" s="260">
        <f>+IF(G64&gt;F64,G64-F64,"")</f>
        <v>682620.2666666666</v>
      </c>
    </row>
    <row r="66" spans="6:7">
      <c r="F66" s="44"/>
      <c r="G66" s="15"/>
    </row>
  </sheetData>
  <mergeCells count="25">
    <mergeCell ref="I57:J57"/>
    <mergeCell ref="E2:F2"/>
    <mergeCell ref="F57:G57"/>
    <mergeCell ref="B29:C29"/>
    <mergeCell ref="E29:F29"/>
    <mergeCell ref="H29:I29"/>
    <mergeCell ref="B20:C20"/>
    <mergeCell ref="E20:F20"/>
    <mergeCell ref="B11:C11"/>
    <mergeCell ref="E11:F11"/>
    <mergeCell ref="B2:C2"/>
    <mergeCell ref="B38:C38"/>
    <mergeCell ref="E38:F38"/>
    <mergeCell ref="H38:I38"/>
    <mergeCell ref="H2:I2"/>
    <mergeCell ref="K38:L38"/>
    <mergeCell ref="B47:C47"/>
    <mergeCell ref="E47:F47"/>
    <mergeCell ref="H47:I47"/>
    <mergeCell ref="K47:L47"/>
    <mergeCell ref="K29:L29"/>
    <mergeCell ref="H11:I11"/>
    <mergeCell ref="H20:I20"/>
    <mergeCell ref="K11:L11"/>
    <mergeCell ref="K20:L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24"/>
  <sheetViews>
    <sheetView topLeftCell="A10" workbookViewId="0">
      <selection activeCell="A34" sqref="A34"/>
    </sheetView>
  </sheetViews>
  <sheetFormatPr baseColWidth="10" defaultRowHeight="15"/>
  <cols>
    <col min="1" max="1" width="37.5703125" bestFit="1" customWidth="1"/>
    <col min="2" max="2" width="14" style="15" bestFit="1" customWidth="1"/>
  </cols>
  <sheetData>
    <row r="1" spans="1:2" ht="15.75" thickBot="1"/>
    <row r="2" spans="1:2">
      <c r="A2" s="360" t="s">
        <v>23</v>
      </c>
      <c r="B2" s="361"/>
    </row>
    <row r="3" spans="1:2">
      <c r="A3" s="112" t="str">
        <f>+'ESTADO DE COSTOS'!A8</f>
        <v>MATERIA PRIMA</v>
      </c>
      <c r="B3" s="113"/>
    </row>
    <row r="4" spans="1:2">
      <c r="A4" s="114" t="str">
        <f>+'ESTADO DE COSTOS'!A10</f>
        <v>Clavijas</v>
      </c>
      <c r="B4" s="113">
        <f>+'ESTADO DE COSTOS'!B10</f>
        <v>28000</v>
      </c>
    </row>
    <row r="5" spans="1:2">
      <c r="A5" s="114" t="str">
        <f>+'ESTADO DE COSTOS'!A11</f>
        <v>Cajas de conexión</v>
      </c>
      <c r="B5" s="113">
        <f>+'ESTADO DE COSTOS'!B11</f>
        <v>36000</v>
      </c>
    </row>
    <row r="6" spans="1:2">
      <c r="A6" s="114" t="str">
        <f>+'ESTADO DE COSTOS'!A12</f>
        <v>Porta lamparas</v>
      </c>
      <c r="B6" s="113">
        <f>+'ESTADO DE COSTOS'!B12</f>
        <v>104000</v>
      </c>
    </row>
    <row r="7" spans="1:2">
      <c r="A7" s="114" t="str">
        <f>+'ESTADO DE COSTOS'!A13</f>
        <v>Interruptores</v>
      </c>
      <c r="B7" s="113">
        <f>+'ESTADO DE COSTOS'!B13</f>
        <v>52000</v>
      </c>
    </row>
    <row r="8" spans="1:2">
      <c r="A8" s="114" t="str">
        <f>'ESTADO DE COSTOS'!A9</f>
        <v>Cables electricos</v>
      </c>
      <c r="B8" s="113">
        <f>'ESTADO DE COSTOS'!B9</f>
        <v>640000</v>
      </c>
    </row>
    <row r="9" spans="1:2">
      <c r="A9" s="114" t="str">
        <f>+'ESTADO DE COSTOS'!A14</f>
        <v>Pulsadores</v>
      </c>
      <c r="B9" s="113">
        <f>+'ESTADO DE COSTOS'!B14</f>
        <v>160000</v>
      </c>
    </row>
    <row r="10" spans="1:2">
      <c r="A10" s="112" t="str">
        <f>+'ESTADO DE COSTOS'!A15</f>
        <v>TOTAL MATERIA PRIMA</v>
      </c>
      <c r="B10" s="115">
        <f>SUM(B4:B9)</f>
        <v>1020000</v>
      </c>
    </row>
    <row r="11" spans="1:2">
      <c r="A11" s="112"/>
      <c r="B11" s="115"/>
    </row>
    <row r="12" spans="1:2">
      <c r="A12" s="112" t="str">
        <f>+'ESTADO DE COSTOS'!A23</f>
        <v>COSTOS INDIRECTOS DE FABRICACION</v>
      </c>
      <c r="B12" s="115"/>
    </row>
    <row r="13" spans="1:2">
      <c r="A13" s="116" t="str">
        <f>+'ESTADO DE COSTOS'!A24</f>
        <v>agua</v>
      </c>
      <c r="B13" s="113">
        <f>+'ESTADO DE COSTOS'!B24</f>
        <v>304</v>
      </c>
    </row>
    <row r="14" spans="1:2">
      <c r="A14" s="116" t="str">
        <f>+'ESTADO DE COSTOS'!A25</f>
        <v>luz</v>
      </c>
      <c r="B14" s="113">
        <f>+'ESTADO DE COSTOS'!B25</f>
        <v>304</v>
      </c>
    </row>
    <row r="15" spans="1:2">
      <c r="A15" s="116" t="str">
        <f>+'ESTADO DE COSTOS'!A26</f>
        <v>gas</v>
      </c>
      <c r="B15" s="113">
        <f>+'ESTADO DE COSTOS'!B26</f>
        <v>40</v>
      </c>
    </row>
    <row r="16" spans="1:2">
      <c r="A16" s="112" t="s">
        <v>133</v>
      </c>
      <c r="B16" s="115">
        <f>+SUM(B13:B15)</f>
        <v>648</v>
      </c>
    </row>
    <row r="17" spans="1:2">
      <c r="A17" s="112"/>
      <c r="B17" s="115"/>
    </row>
    <row r="18" spans="1:2">
      <c r="A18" s="112" t="s">
        <v>134</v>
      </c>
      <c r="B18" s="115">
        <f>+B16+B10</f>
        <v>1020648</v>
      </c>
    </row>
    <row r="19" spans="1:2" ht="15.75" thickBot="1">
      <c r="A19" s="117"/>
      <c r="B19" s="110"/>
    </row>
    <row r="20" spans="1:2">
      <c r="A20" s="360" t="s">
        <v>135</v>
      </c>
      <c r="B20" s="361"/>
    </row>
    <row r="21" spans="1:2">
      <c r="A21" s="114" t="s">
        <v>31</v>
      </c>
      <c r="B21" s="113">
        <f>+'CLASIFICACIÓN DE COSTOS'!C15</f>
        <v>250000</v>
      </c>
    </row>
    <row r="22" spans="1:2">
      <c r="A22" s="114" t="s">
        <v>136</v>
      </c>
      <c r="B22" s="113">
        <f>+'CLASIFICACIÓN DE COSTOS'!C16</f>
        <v>150000</v>
      </c>
    </row>
    <row r="23" spans="1:2">
      <c r="A23" s="114" t="s">
        <v>137</v>
      </c>
      <c r="B23" s="113">
        <f>+GASTOS!C8+GASTOS!C16</f>
        <v>300916.66666666669</v>
      </c>
    </row>
    <row r="24" spans="1:2" ht="15.75" thickBot="1">
      <c r="A24" s="120" t="s">
        <v>138</v>
      </c>
      <c r="B24" s="121">
        <f>+SUM(B21:B23)</f>
        <v>700916.66666666674</v>
      </c>
    </row>
  </sheetData>
  <mergeCells count="2">
    <mergeCell ref="A2:B2"/>
    <mergeCell ref="A20:B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2:E9"/>
  <sheetViews>
    <sheetView workbookViewId="0">
      <selection activeCell="C26" sqref="C26"/>
    </sheetView>
  </sheetViews>
  <sheetFormatPr baseColWidth="10" defaultRowHeight="15"/>
  <cols>
    <col min="1" max="1" width="23.42578125" customWidth="1"/>
    <col min="2" max="2" width="19.7109375" customWidth="1"/>
    <col min="3" max="3" width="18.140625" customWidth="1"/>
    <col min="4" max="5" width="15" customWidth="1"/>
    <col min="6" max="6" width="11.42578125" customWidth="1"/>
  </cols>
  <sheetData>
    <row r="2" spans="1:5">
      <c r="A2" s="366" t="s">
        <v>208</v>
      </c>
      <c r="B2" s="366"/>
      <c r="C2" s="366"/>
      <c r="D2" s="366"/>
    </row>
    <row r="3" spans="1:5">
      <c r="A3" s="366"/>
      <c r="B3" s="366"/>
      <c r="C3" s="366"/>
      <c r="D3" s="366"/>
    </row>
    <row r="4" spans="1:5">
      <c r="A4" s="364" t="s">
        <v>141</v>
      </c>
      <c r="B4" s="263" t="s">
        <v>22</v>
      </c>
      <c r="C4" s="264">
        <f>+'COSTOS FIJOS Y VARIABLES'!B24</f>
        <v>700916.66666666674</v>
      </c>
      <c r="D4" s="362">
        <f>+C4/C5</f>
        <v>5.6386073048891712</v>
      </c>
      <c r="E4" s="2"/>
    </row>
    <row r="5" spans="1:5" ht="15.75" thickBot="1">
      <c r="A5" s="365"/>
      <c r="B5" s="125" t="s">
        <v>23</v>
      </c>
      <c r="C5" s="126">
        <f>'PRECIO DE VENTA'!C4-'PRECIO DE VENTA'!C3</f>
        <v>124306.70000000001</v>
      </c>
      <c r="D5" s="363"/>
      <c r="E5" s="2"/>
    </row>
    <row r="8" spans="1:5">
      <c r="B8" s="3"/>
    </row>
    <row r="9" spans="1:5">
      <c r="B9" s="4"/>
    </row>
  </sheetData>
  <mergeCells count="3">
    <mergeCell ref="D4:D5"/>
    <mergeCell ref="A4:A5"/>
    <mergeCell ref="A2:D3"/>
  </mergeCells>
  <pageMargins left="0.70000000000000007" right="0.70000000000000007" top="0.75" bottom="0.75" header="0.30000000000000004" footer="0.30000000000000004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E45"/>
  <sheetViews>
    <sheetView topLeftCell="A7" zoomScale="85" zoomScaleNormal="85" workbookViewId="0">
      <selection activeCell="H36" sqref="H36"/>
    </sheetView>
  </sheetViews>
  <sheetFormatPr baseColWidth="10" defaultRowHeight="15"/>
  <cols>
    <col min="1" max="1" width="13" style="127" bestFit="1" customWidth="1"/>
    <col min="2" max="2" width="41.85546875" style="127" bestFit="1" customWidth="1"/>
    <col min="3" max="3" width="11.28515625" style="127" customWidth="1"/>
    <col min="4" max="5" width="15.140625" style="6" bestFit="1" customWidth="1"/>
    <col min="6" max="1024" width="11.28515625" style="127" customWidth="1"/>
    <col min="1025" max="1025" width="11.42578125" style="127" customWidth="1"/>
    <col min="1026" max="16384" width="11.42578125" style="127"/>
  </cols>
  <sheetData>
    <row r="1" spans="1:5" ht="15.75" thickBot="1"/>
    <row r="2" spans="1:5">
      <c r="A2" s="367" t="s">
        <v>118</v>
      </c>
      <c r="B2" s="368"/>
      <c r="C2" s="368"/>
      <c r="D2" s="368"/>
      <c r="E2" s="215"/>
    </row>
    <row r="3" spans="1:5">
      <c r="A3" s="216" t="s">
        <v>15</v>
      </c>
      <c r="B3" s="217"/>
      <c r="C3" s="217"/>
      <c r="D3" s="80"/>
      <c r="E3" s="119"/>
    </row>
    <row r="4" spans="1:5">
      <c r="A4" s="218"/>
      <c r="B4" s="217"/>
      <c r="C4" s="217"/>
      <c r="D4" s="80"/>
      <c r="E4" s="219"/>
    </row>
    <row r="5" spans="1:5">
      <c r="A5" s="220">
        <v>1105</v>
      </c>
      <c r="B5" s="217" t="s">
        <v>90</v>
      </c>
      <c r="C5" s="217"/>
      <c r="D5" s="80">
        <f>+'CUENTAS T MES 1'!E8</f>
        <v>1713536.9333333333</v>
      </c>
      <c r="E5" s="219"/>
    </row>
    <row r="6" spans="1:5">
      <c r="A6" s="221">
        <v>1110</v>
      </c>
      <c r="B6" s="217" t="s">
        <v>43</v>
      </c>
      <c r="C6" s="217"/>
      <c r="D6" s="80">
        <f>+'CUENTAS T MES 1'!B8</f>
        <v>3805000</v>
      </c>
      <c r="E6" s="119"/>
    </row>
    <row r="7" spans="1:5">
      <c r="A7" s="222">
        <v>1405</v>
      </c>
      <c r="B7" s="217" t="s">
        <v>119</v>
      </c>
      <c r="C7" s="217"/>
      <c r="D7" s="262"/>
      <c r="E7" s="223"/>
    </row>
    <row r="8" spans="1:5">
      <c r="A8" s="222">
        <v>1410</v>
      </c>
      <c r="B8" s="217" t="s">
        <v>80</v>
      </c>
      <c r="C8" s="217"/>
      <c r="D8" s="262" t="str">
        <f>+'CUENTAS T MES 1'!H44</f>
        <v/>
      </c>
      <c r="E8" s="223"/>
    </row>
    <row r="9" spans="1:5">
      <c r="A9" s="224">
        <v>1430</v>
      </c>
      <c r="B9" s="225" t="s">
        <v>120</v>
      </c>
      <c r="C9" s="225"/>
      <c r="D9" s="261" t="str">
        <f>+'CUENTAS T MES 1'!K44</f>
        <v/>
      </c>
      <c r="E9" s="223"/>
    </row>
    <row r="10" spans="1:5">
      <c r="A10" s="222">
        <v>1520</v>
      </c>
      <c r="B10" s="217" t="s">
        <v>73</v>
      </c>
      <c r="C10" s="217"/>
      <c r="D10" s="80">
        <f>+'CUENTAS T MES 1'!E17</f>
        <v>655000</v>
      </c>
      <c r="E10" s="223"/>
    </row>
    <row r="11" spans="1:5">
      <c r="A11" s="222">
        <v>1524</v>
      </c>
      <c r="B11" s="217" t="s">
        <v>55</v>
      </c>
      <c r="C11" s="217"/>
      <c r="D11" s="80">
        <f>+'CUENTAS T MES 1'!K17</f>
        <v>300000</v>
      </c>
      <c r="E11" s="223"/>
    </row>
    <row r="12" spans="1:5">
      <c r="A12" s="222">
        <v>1528</v>
      </c>
      <c r="B12" s="217" t="s">
        <v>54</v>
      </c>
      <c r="C12" s="217"/>
      <c r="D12" s="80">
        <f>+'CUENTAS T MES 1'!H17</f>
        <v>1420000</v>
      </c>
      <c r="E12" s="223"/>
    </row>
    <row r="13" spans="1:5">
      <c r="A13" s="222">
        <v>1592</v>
      </c>
      <c r="B13" s="217" t="s">
        <v>129</v>
      </c>
      <c r="C13" s="217"/>
      <c r="D13" s="80">
        <f>-'CUENTAS T MES 1'!L52</f>
        <v>-10916.666666666664</v>
      </c>
      <c r="E13" s="223"/>
    </row>
    <row r="14" spans="1:5">
      <c r="A14" s="371" t="s">
        <v>44</v>
      </c>
      <c r="B14" s="372"/>
      <c r="C14" s="372"/>
      <c r="D14" s="226">
        <f>+SUM(D5:D13)</f>
        <v>7882620.2666666666</v>
      </c>
      <c r="E14" s="223"/>
    </row>
    <row r="15" spans="1:5">
      <c r="A15" s="222"/>
      <c r="B15" s="217"/>
      <c r="C15" s="217"/>
      <c r="D15" s="80"/>
      <c r="E15" s="223"/>
    </row>
    <row r="16" spans="1:5">
      <c r="A16" s="227" t="s">
        <v>29</v>
      </c>
      <c r="B16" s="217"/>
      <c r="C16" s="217"/>
      <c r="D16" s="80"/>
      <c r="E16" s="223"/>
    </row>
    <row r="17" spans="1:5">
      <c r="A17" s="222"/>
      <c r="B17" s="217"/>
      <c r="C17" s="217"/>
      <c r="D17" s="80"/>
      <c r="E17" s="223"/>
    </row>
    <row r="18" spans="1:5">
      <c r="A18" s="222">
        <v>2335</v>
      </c>
      <c r="B18" s="217" t="s">
        <v>121</v>
      </c>
      <c r="C18" s="217"/>
      <c r="D18" s="80"/>
      <c r="E18" s="119">
        <f>+'CUENTAS T MES 1'!C44+'CUENTAS T MES 1'!F44</f>
        <v>0</v>
      </c>
    </row>
    <row r="19" spans="1:5">
      <c r="A19" s="371" t="s">
        <v>124</v>
      </c>
      <c r="B19" s="372"/>
      <c r="C19" s="372"/>
      <c r="D19" s="226"/>
      <c r="E19" s="223">
        <f>+E18</f>
        <v>0</v>
      </c>
    </row>
    <row r="20" spans="1:5">
      <c r="A20" s="222"/>
      <c r="B20" s="217"/>
      <c r="C20" s="217"/>
      <c r="D20" s="80"/>
      <c r="E20" s="228"/>
    </row>
    <row r="21" spans="1:5">
      <c r="A21" s="227" t="s">
        <v>30</v>
      </c>
      <c r="B21" s="217"/>
      <c r="C21" s="217"/>
      <c r="D21" s="80"/>
      <c r="E21" s="119"/>
    </row>
    <row r="22" spans="1:5">
      <c r="A22" s="222"/>
      <c r="B22" s="217"/>
      <c r="C22" s="217"/>
      <c r="D22" s="80"/>
      <c r="E22" s="119"/>
    </row>
    <row r="23" spans="1:5">
      <c r="A23" s="222">
        <v>3115</v>
      </c>
      <c r="B23" s="217" t="s">
        <v>122</v>
      </c>
      <c r="C23" s="217"/>
      <c r="D23" s="80"/>
      <c r="E23" s="119">
        <f>'APORTES DE CAPITAL'!B8</f>
        <v>7200000</v>
      </c>
    </row>
    <row r="24" spans="1:5">
      <c r="A24" s="222">
        <v>3605</v>
      </c>
      <c r="B24" s="217" t="s">
        <v>123</v>
      </c>
      <c r="C24" s="217"/>
      <c r="D24" s="80"/>
      <c r="E24" s="119">
        <f>+'CUENTAS T MES 1'!J63</f>
        <v>682620.2666666666</v>
      </c>
    </row>
    <row r="25" spans="1:5">
      <c r="A25" s="371" t="s">
        <v>46</v>
      </c>
      <c r="B25" s="372"/>
      <c r="C25" s="372"/>
      <c r="D25" s="80"/>
      <c r="E25" s="119">
        <f>+E24+E23</f>
        <v>7882620.2666666666</v>
      </c>
    </row>
    <row r="26" spans="1:5">
      <c r="A26" s="227"/>
      <c r="B26" s="229"/>
      <c r="C26" s="229"/>
      <c r="D26" s="226"/>
      <c r="E26" s="230"/>
    </row>
    <row r="27" spans="1:5" ht="15.75" thickBot="1">
      <c r="A27" s="369" t="s">
        <v>47</v>
      </c>
      <c r="B27" s="370"/>
      <c r="C27" s="370"/>
      <c r="D27" s="231">
        <f>+D14</f>
        <v>7882620.2666666666</v>
      </c>
      <c r="E27" s="232">
        <f>E25+E19</f>
        <v>7882620.2666666666</v>
      </c>
    </row>
    <row r="28" spans="1:5">
      <c r="A28" s="129"/>
    </row>
    <row r="29" spans="1:5">
      <c r="A29" s="129"/>
    </row>
    <row r="30" spans="1:5">
      <c r="A30" s="129"/>
    </row>
    <row r="31" spans="1:5">
      <c r="A31" s="129"/>
    </row>
    <row r="32" spans="1:5">
      <c r="A32" s="129"/>
    </row>
    <row r="33" spans="1:1">
      <c r="A33" s="129"/>
    </row>
    <row r="34" spans="1:1">
      <c r="A34" s="129"/>
    </row>
    <row r="35" spans="1:1">
      <c r="A35" s="129"/>
    </row>
    <row r="36" spans="1:1">
      <c r="A36" s="129"/>
    </row>
    <row r="37" spans="1:1">
      <c r="A37" s="129"/>
    </row>
    <row r="38" spans="1:1">
      <c r="A38" s="128"/>
    </row>
    <row r="39" spans="1:1">
      <c r="A39" s="128"/>
    </row>
    <row r="40" spans="1:1">
      <c r="A40" s="129"/>
    </row>
    <row r="41" spans="1:1">
      <c r="A41" s="130"/>
    </row>
    <row r="42" spans="1:1">
      <c r="A42" s="130"/>
    </row>
    <row r="43" spans="1:1">
      <c r="A43" s="130"/>
    </row>
    <row r="44" spans="1:1">
      <c r="A44" s="130"/>
    </row>
    <row r="45" spans="1:1">
      <c r="A45" s="130"/>
    </row>
  </sheetData>
  <mergeCells count="5">
    <mergeCell ref="A2:D2"/>
    <mergeCell ref="A27:C27"/>
    <mergeCell ref="A14:C14"/>
    <mergeCell ref="A19:C19"/>
    <mergeCell ref="A25:C25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H22"/>
  <sheetViews>
    <sheetView workbookViewId="0">
      <selection activeCell="F9" sqref="F9"/>
    </sheetView>
  </sheetViews>
  <sheetFormatPr baseColWidth="10" defaultRowHeight="15"/>
  <cols>
    <col min="1" max="1" width="31.5703125" style="11" bestFit="1" customWidth="1"/>
    <col min="2" max="2" width="11.28515625" style="11" customWidth="1"/>
    <col min="3" max="3" width="19.28515625" style="11" customWidth="1"/>
    <col min="4" max="4" width="23.42578125" style="11" customWidth="1"/>
    <col min="5" max="9" width="11.28515625" style="11" customWidth="1"/>
    <col min="10" max="10" width="21.42578125" style="11" customWidth="1"/>
    <col min="11" max="1024" width="11.28515625" style="11" customWidth="1"/>
    <col min="1025" max="1025" width="11.42578125" style="11" customWidth="1"/>
    <col min="1026" max="16384" width="11.42578125" style="11"/>
  </cols>
  <sheetData>
    <row r="1" spans="1:8" ht="15.75" thickBot="1"/>
    <row r="2" spans="1:8">
      <c r="A2" s="373" t="s">
        <v>34</v>
      </c>
      <c r="B2" s="374"/>
      <c r="C2" s="374"/>
      <c r="D2" s="375"/>
    </row>
    <row r="3" spans="1:8">
      <c r="A3" s="376"/>
      <c r="B3" s="377"/>
      <c r="C3" s="377"/>
      <c r="D3" s="378"/>
    </row>
    <row r="4" spans="1:8">
      <c r="A4" s="265"/>
      <c r="B4" s="266"/>
      <c r="C4" s="266"/>
      <c r="D4" s="267"/>
      <c r="H4" s="11" t="s">
        <v>24</v>
      </c>
    </row>
    <row r="5" spans="1:8">
      <c r="A5" s="268" t="s">
        <v>125</v>
      </c>
      <c r="B5" s="266"/>
      <c r="C5" s="266"/>
      <c r="D5" s="267"/>
    </row>
    <row r="6" spans="1:8">
      <c r="A6" s="265" t="s">
        <v>21</v>
      </c>
      <c r="B6" s="266"/>
      <c r="C6" s="269"/>
      <c r="D6" s="270">
        <f>+'CUENTAS T MES 1'!C52</f>
        <v>2415101.6</v>
      </c>
    </row>
    <row r="7" spans="1:8">
      <c r="A7" s="265" t="s">
        <v>126</v>
      </c>
      <c r="B7" s="266"/>
      <c r="C7" s="269"/>
      <c r="D7" s="270">
        <f>-'CAUSACION MES 1'!D55</f>
        <v>-1420648</v>
      </c>
    </row>
    <row r="8" spans="1:8">
      <c r="A8" s="265" t="s">
        <v>127</v>
      </c>
      <c r="B8" s="266"/>
      <c r="C8" s="269"/>
      <c r="D8" s="270">
        <f>SUM(D6:D7)</f>
        <v>994453.60000000009</v>
      </c>
    </row>
    <row r="9" spans="1:8">
      <c r="A9" s="265"/>
      <c r="B9" s="266"/>
      <c r="C9" s="269"/>
      <c r="D9" s="270"/>
    </row>
    <row r="10" spans="1:8">
      <c r="A10" s="268" t="s">
        <v>25</v>
      </c>
      <c r="B10" s="266"/>
      <c r="C10" s="269"/>
      <c r="D10" s="270"/>
    </row>
    <row r="11" spans="1:8">
      <c r="A11" s="265" t="s">
        <v>128</v>
      </c>
      <c r="B11" s="266"/>
      <c r="C11" s="269">
        <f>+'CUENTAS T MES 1'!E52</f>
        <v>100916.66666666666</v>
      </c>
      <c r="D11" s="270"/>
    </row>
    <row r="12" spans="1:8">
      <c r="A12" s="265" t="s">
        <v>21</v>
      </c>
      <c r="B12" s="266"/>
      <c r="C12" s="269">
        <f>+'CUENTAS T MES 1'!H52</f>
        <v>210916.66666666669</v>
      </c>
      <c r="D12" s="270"/>
    </row>
    <row r="13" spans="1:8">
      <c r="A13" s="271" t="s">
        <v>131</v>
      </c>
      <c r="B13" s="266"/>
      <c r="C13" s="266"/>
      <c r="D13" s="272">
        <f>+C12+C11</f>
        <v>311833.33333333337</v>
      </c>
    </row>
    <row r="14" spans="1:8">
      <c r="A14" s="265"/>
      <c r="B14" s="266"/>
      <c r="C14" s="269"/>
      <c r="D14" s="270"/>
    </row>
    <row r="15" spans="1:8">
      <c r="A15" s="268" t="s">
        <v>132</v>
      </c>
      <c r="B15" s="229"/>
      <c r="C15" s="226"/>
      <c r="D15" s="230">
        <f>+D8-D13</f>
        <v>682620.26666666672</v>
      </c>
    </row>
    <row r="16" spans="1:8">
      <c r="A16" s="265"/>
      <c r="B16" s="266"/>
      <c r="C16" s="269"/>
      <c r="D16" s="270"/>
    </row>
    <row r="17" spans="1:4">
      <c r="A17" s="268" t="s">
        <v>35</v>
      </c>
      <c r="B17" s="229"/>
      <c r="C17" s="226"/>
      <c r="D17" s="230">
        <v>0</v>
      </c>
    </row>
    <row r="18" spans="1:4">
      <c r="A18" s="271"/>
      <c r="B18" s="229"/>
      <c r="C18" s="226"/>
      <c r="D18" s="230"/>
    </row>
    <row r="19" spans="1:4" s="111" customFormat="1" ht="15.75" thickBot="1">
      <c r="A19" s="273" t="s">
        <v>27</v>
      </c>
      <c r="B19" s="274"/>
      <c r="C19" s="231"/>
      <c r="D19" s="232">
        <f>+D15-D17</f>
        <v>682620.26666666672</v>
      </c>
    </row>
    <row r="20" spans="1:4" s="111" customFormat="1"/>
    <row r="21" spans="1:4" s="111" customFormat="1"/>
    <row r="22" spans="1:4" s="111" customFormat="1"/>
  </sheetData>
  <mergeCells count="2">
    <mergeCell ref="A2:D2"/>
    <mergeCell ref="A3:D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2:F6"/>
  <sheetViews>
    <sheetView workbookViewId="0">
      <selection activeCell="K18" sqref="K18"/>
    </sheetView>
  </sheetViews>
  <sheetFormatPr baseColWidth="10" defaultRowHeight="15"/>
  <cols>
    <col min="1" max="16384" width="11.42578125" style="11"/>
  </cols>
  <sheetData>
    <row r="2" spans="2:6" ht="18.75" customHeight="1">
      <c r="B2" s="379" t="s">
        <v>39</v>
      </c>
      <c r="C2" s="379"/>
      <c r="D2" s="379"/>
      <c r="E2" s="379"/>
      <c r="F2" s="379"/>
    </row>
    <row r="3" spans="2:6">
      <c r="B3" s="379"/>
      <c r="C3" s="379"/>
      <c r="D3" s="379"/>
      <c r="E3" s="379"/>
      <c r="F3" s="379"/>
    </row>
    <row r="4" spans="2:6">
      <c r="B4" s="380" t="s">
        <v>38</v>
      </c>
      <c r="C4" s="380"/>
      <c r="D4" s="380"/>
      <c r="E4" s="380">
        <f>+'ESTADO DE RESULTADOS'!D6</f>
        <v>2415101.6</v>
      </c>
      <c r="F4" s="380"/>
    </row>
    <row r="5" spans="2:6">
      <c r="B5" s="380" t="s">
        <v>23</v>
      </c>
      <c r="C5" s="380"/>
      <c r="D5" s="380"/>
      <c r="E5" s="380">
        <f>+'COSTOS FIJOS Y VARIABLES'!B18</f>
        <v>1020648</v>
      </c>
      <c r="F5" s="380"/>
    </row>
    <row r="6" spans="2:6" ht="15.75">
      <c r="B6" s="380" t="s">
        <v>20</v>
      </c>
      <c r="C6" s="380"/>
      <c r="D6" s="380"/>
      <c r="E6" s="381">
        <f>+E4-E5</f>
        <v>1394453.6</v>
      </c>
      <c r="F6" s="381"/>
    </row>
  </sheetData>
  <mergeCells count="7">
    <mergeCell ref="B2:F3"/>
    <mergeCell ref="B4:D4"/>
    <mergeCell ref="B5:D5"/>
    <mergeCell ref="B6:D6"/>
    <mergeCell ref="E4:F4"/>
    <mergeCell ref="E5:F5"/>
    <mergeCell ref="E6:F6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25" sqref="E25"/>
    </sheetView>
  </sheetViews>
  <sheetFormatPr baseColWidth="10" defaultRowHeight="15"/>
  <cols>
    <col min="1" max="1" width="14" bestFit="1" customWidth="1"/>
    <col min="2" max="2" width="34.5703125" bestFit="1" customWidth="1"/>
    <col min="3" max="3" width="15" style="20" bestFit="1" customWidth="1"/>
    <col min="4" max="4" width="15" style="19" bestFit="1" customWidth="1"/>
    <col min="5" max="5" width="12.42578125" bestFit="1" customWidth="1"/>
  </cols>
  <sheetData>
    <row r="1" spans="1:5" ht="15.75" thickBot="1"/>
    <row r="2" spans="1:5">
      <c r="A2" s="276" t="s">
        <v>28</v>
      </c>
      <c r="B2" s="277"/>
      <c r="C2" s="277"/>
      <c r="D2" s="277"/>
      <c r="E2" s="278"/>
    </row>
    <row r="3" spans="1:5">
      <c r="A3" s="283"/>
      <c r="B3" s="284"/>
      <c r="C3" s="284"/>
      <c r="D3" s="284"/>
      <c r="E3" s="285"/>
    </row>
    <row r="4" spans="1:5">
      <c r="A4" s="39"/>
      <c r="B4" s="40"/>
      <c r="C4" s="40"/>
      <c r="D4" s="40"/>
      <c r="E4" s="41"/>
    </row>
    <row r="5" spans="1:5" ht="15.75">
      <c r="A5" s="25" t="s">
        <v>15</v>
      </c>
      <c r="B5" s="26"/>
      <c r="C5" s="24"/>
      <c r="D5" s="27"/>
      <c r="E5" s="28"/>
    </row>
    <row r="6" spans="1:5">
      <c r="A6" s="29">
        <v>1110</v>
      </c>
      <c r="B6" s="26" t="s">
        <v>43</v>
      </c>
      <c r="C6" s="24"/>
      <c r="D6" s="30">
        <f>+C7</f>
        <v>7200000</v>
      </c>
      <c r="E6" s="28"/>
    </row>
    <row r="7" spans="1:5">
      <c r="A7" s="29">
        <v>111005</v>
      </c>
      <c r="B7" s="26" t="s">
        <v>142</v>
      </c>
      <c r="C7" s="24">
        <f>+'APORTES DE CAPITAL'!B8</f>
        <v>7200000</v>
      </c>
      <c r="D7" s="27"/>
      <c r="E7" s="28"/>
    </row>
    <row r="8" spans="1:5">
      <c r="A8" s="279" t="s">
        <v>44</v>
      </c>
      <c r="B8" s="280"/>
      <c r="C8" s="280"/>
      <c r="D8" s="31">
        <f>+D6</f>
        <v>7200000</v>
      </c>
      <c r="E8" s="28"/>
    </row>
    <row r="9" spans="1:5" ht="15.75">
      <c r="A9" s="25" t="s">
        <v>29</v>
      </c>
      <c r="B9" s="26"/>
      <c r="C9" s="24"/>
      <c r="D9" s="27"/>
      <c r="E9" s="32"/>
    </row>
    <row r="10" spans="1:5">
      <c r="A10" s="279" t="s">
        <v>45</v>
      </c>
      <c r="B10" s="280"/>
      <c r="C10" s="280"/>
      <c r="D10" s="31"/>
      <c r="E10" s="33">
        <v>0</v>
      </c>
    </row>
    <row r="11" spans="1:5" ht="15.75">
      <c r="A11" s="25" t="s">
        <v>30</v>
      </c>
      <c r="B11" s="26"/>
      <c r="C11" s="24"/>
      <c r="D11" s="27"/>
      <c r="E11" s="28"/>
    </row>
    <row r="12" spans="1:5">
      <c r="A12" s="34">
        <v>311505</v>
      </c>
      <c r="B12" s="26" t="s">
        <v>157</v>
      </c>
      <c r="C12" s="24"/>
      <c r="D12" s="27"/>
      <c r="E12" s="35">
        <f>+SUM(C13:C16)</f>
        <v>7200000</v>
      </c>
    </row>
    <row r="13" spans="1:5">
      <c r="A13" s="34">
        <v>31150501</v>
      </c>
      <c r="B13" s="23" t="str">
        <f>+'APORTES DE CAPITAL'!A4</f>
        <v>Estefany Aragon</v>
      </c>
      <c r="C13" s="24">
        <f>+'APORTES DE CAPITAL'!B4</f>
        <v>1800000</v>
      </c>
      <c r="D13" s="27"/>
      <c r="E13" s="28"/>
    </row>
    <row r="14" spans="1:5">
      <c r="A14" s="34">
        <v>31150502</v>
      </c>
      <c r="B14" s="23" t="str">
        <f>+'APORTES DE CAPITAL'!A5</f>
        <v>Angie Rodriguez</v>
      </c>
      <c r="C14" s="24">
        <f>+'APORTES DE CAPITAL'!B5</f>
        <v>1800000</v>
      </c>
      <c r="D14" s="27"/>
      <c r="E14" s="28"/>
    </row>
    <row r="15" spans="1:5">
      <c r="A15" s="34">
        <v>31150503</v>
      </c>
      <c r="B15" s="23" t="str">
        <f>+'APORTES DE CAPITAL'!A6</f>
        <v>Leonardo Flores</v>
      </c>
      <c r="C15" s="24">
        <f>+'APORTES DE CAPITAL'!B6</f>
        <v>1800000</v>
      </c>
      <c r="D15" s="27"/>
      <c r="E15" s="28"/>
    </row>
    <row r="16" spans="1:5">
      <c r="A16" s="34">
        <v>311505004</v>
      </c>
      <c r="B16" s="23" t="str">
        <f>+'APORTES DE CAPITAL'!A7</f>
        <v>Daniela Peña</v>
      </c>
      <c r="C16" s="24">
        <f>+'APORTES DE CAPITAL'!B7</f>
        <v>1800000</v>
      </c>
      <c r="D16" s="27"/>
      <c r="E16" s="28"/>
    </row>
    <row r="17" spans="1:5">
      <c r="A17" s="279" t="s">
        <v>46</v>
      </c>
      <c r="B17" s="280"/>
      <c r="C17" s="280"/>
      <c r="D17" s="31"/>
      <c r="E17" s="36">
        <f>+E12</f>
        <v>7200000</v>
      </c>
    </row>
    <row r="18" spans="1:5">
      <c r="A18" s="34"/>
      <c r="B18" s="26"/>
      <c r="C18" s="24"/>
      <c r="D18" s="27"/>
      <c r="E18" s="28"/>
    </row>
    <row r="19" spans="1:5" ht="15.75" thickBot="1">
      <c r="A19" s="281" t="s">
        <v>47</v>
      </c>
      <c r="B19" s="282"/>
      <c r="C19" s="282"/>
      <c r="D19" s="37">
        <f>+D8</f>
        <v>7200000</v>
      </c>
      <c r="E19" s="38">
        <f>+E17+E10</f>
        <v>7200000</v>
      </c>
    </row>
  </sheetData>
  <mergeCells count="6">
    <mergeCell ref="A2:E2"/>
    <mergeCell ref="A8:C8"/>
    <mergeCell ref="A10:C10"/>
    <mergeCell ref="A17:C17"/>
    <mergeCell ref="A19:C19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topLeftCell="A13" workbookViewId="0">
      <selection activeCell="E30" sqref="E30"/>
    </sheetView>
  </sheetViews>
  <sheetFormatPr baseColWidth="10" defaultRowHeight="15"/>
  <cols>
    <col min="1" max="1" width="30.140625" style="6" bestFit="1" customWidth="1"/>
    <col min="2" max="2" width="18.7109375" style="6" customWidth="1"/>
    <col min="3" max="3" width="17.85546875" style="6" customWidth="1"/>
    <col min="4" max="4" width="20.5703125" style="6" bestFit="1" customWidth="1"/>
    <col min="5" max="5" width="11.28515625" style="6" customWidth="1"/>
    <col min="6" max="6" width="17.28515625" style="6" customWidth="1"/>
    <col min="7" max="1024" width="11.28515625" style="6" customWidth="1"/>
    <col min="1025" max="1025" width="11.42578125" style="6" customWidth="1"/>
    <col min="1026" max="16384" width="11.42578125" style="6"/>
  </cols>
  <sheetData>
    <row r="1" spans="1:6" ht="15.75" thickBot="1"/>
    <row r="2" spans="1:6" ht="18.75">
      <c r="A2" s="293" t="s">
        <v>61</v>
      </c>
      <c r="B2" s="294"/>
      <c r="C2" s="294"/>
      <c r="D2" s="295"/>
      <c r="E2" s="65"/>
      <c r="F2" s="65"/>
    </row>
    <row r="3" spans="1:6">
      <c r="A3" s="68" t="s">
        <v>143</v>
      </c>
      <c r="B3" s="66" t="s">
        <v>3</v>
      </c>
      <c r="C3" s="66" t="s">
        <v>2</v>
      </c>
      <c r="D3" s="69" t="s">
        <v>4</v>
      </c>
      <c r="E3" s="64"/>
      <c r="F3" s="64"/>
    </row>
    <row r="4" spans="1:6" ht="15.75">
      <c r="A4" s="92" t="s">
        <v>148</v>
      </c>
      <c r="B4" s="72">
        <v>8000</v>
      </c>
      <c r="C4" s="67">
        <v>10</v>
      </c>
      <c r="D4" s="71">
        <f>B4*C4</f>
        <v>80000</v>
      </c>
      <c r="E4" s="136"/>
      <c r="F4" s="5"/>
    </row>
    <row r="5" spans="1:6" ht="15.75">
      <c r="A5" s="92" t="s">
        <v>149</v>
      </c>
      <c r="B5" s="72">
        <v>4500</v>
      </c>
      <c r="C5" s="67">
        <v>1</v>
      </c>
      <c r="D5" s="71">
        <f>+(B5/1)*C5</f>
        <v>4500</v>
      </c>
      <c r="E5" s="136"/>
      <c r="F5" s="5"/>
    </row>
    <row r="6" spans="1:6" ht="15.75">
      <c r="A6" s="92" t="s">
        <v>144</v>
      </c>
      <c r="B6" s="72">
        <v>13000</v>
      </c>
      <c r="C6" s="67">
        <v>1</v>
      </c>
      <c r="D6" s="71">
        <f t="shared" ref="D6:D8" si="0">+(B6/1)*C6</f>
        <v>13000</v>
      </c>
      <c r="E6" s="136"/>
      <c r="F6" s="5"/>
    </row>
    <row r="7" spans="1:6" ht="15.75">
      <c r="A7" s="92" t="s">
        <v>145</v>
      </c>
      <c r="B7" s="72">
        <v>6500</v>
      </c>
      <c r="C7" s="67">
        <v>1</v>
      </c>
      <c r="D7" s="71">
        <f>+(B7/1)*C7</f>
        <v>6500</v>
      </c>
      <c r="E7" s="136"/>
      <c r="F7" s="5"/>
    </row>
    <row r="8" spans="1:6" ht="15.75">
      <c r="A8" s="92" t="s">
        <v>146</v>
      </c>
      <c r="B8" s="72">
        <v>20000</v>
      </c>
      <c r="C8" s="67">
        <v>1</v>
      </c>
      <c r="D8" s="71">
        <f t="shared" si="0"/>
        <v>20000</v>
      </c>
      <c r="E8" s="136"/>
      <c r="F8" s="5"/>
    </row>
    <row r="9" spans="1:6" ht="15.75">
      <c r="A9" s="159" t="s">
        <v>147</v>
      </c>
      <c r="B9" s="72">
        <v>3500</v>
      </c>
      <c r="C9" s="160">
        <v>1</v>
      </c>
      <c r="D9" s="161">
        <f>+(B9/1)*C9</f>
        <v>3500</v>
      </c>
      <c r="E9" s="142"/>
      <c r="F9" s="5"/>
    </row>
    <row r="10" spans="1:6" ht="15.75" thickBot="1">
      <c r="A10" s="290" t="s">
        <v>62</v>
      </c>
      <c r="B10" s="291"/>
      <c r="C10" s="292"/>
      <c r="D10" s="149">
        <f>SUM(D4:D9)</f>
        <v>127500</v>
      </c>
      <c r="E10" s="148"/>
      <c r="F10" s="5"/>
    </row>
    <row r="11" spans="1:6">
      <c r="A11" s="5"/>
      <c r="B11" s="5"/>
      <c r="C11" s="5"/>
      <c r="D11" s="5"/>
      <c r="E11" s="5"/>
      <c r="F11" s="5"/>
    </row>
    <row r="12" spans="1:6" ht="15.75" thickBot="1">
      <c r="E12" s="8"/>
    </row>
    <row r="13" spans="1:6">
      <c r="A13" s="287" t="s">
        <v>7</v>
      </c>
      <c r="B13" s="288"/>
      <c r="C13" s="288"/>
      <c r="D13" s="289"/>
    </row>
    <row r="14" spans="1:6" ht="37.5" customHeight="1">
      <c r="A14" s="73" t="s">
        <v>8</v>
      </c>
      <c r="B14" s="9"/>
      <c r="C14" s="122" t="s">
        <v>9</v>
      </c>
      <c r="D14" s="123" t="s">
        <v>139</v>
      </c>
      <c r="E14" s="10"/>
    </row>
    <row r="15" spans="1:6">
      <c r="A15" s="75" t="s">
        <v>31</v>
      </c>
      <c r="B15" s="7"/>
      <c r="C15" s="152">
        <v>250000</v>
      </c>
      <c r="D15" s="153">
        <f>+C15/'ESTADO DE COSTOS'!$B$6</f>
        <v>31250</v>
      </c>
    </row>
    <row r="16" spans="1:6">
      <c r="A16" s="75" t="s">
        <v>32</v>
      </c>
      <c r="B16" s="7"/>
      <c r="C16" s="152">
        <v>150000</v>
      </c>
      <c r="D16" s="153">
        <f>+C16/'ESTADO DE COSTOS'!$B$6</f>
        <v>18750</v>
      </c>
    </row>
    <row r="17" spans="1:5" ht="15.75" thickBot="1">
      <c r="A17" s="298" t="s">
        <v>66</v>
      </c>
      <c r="B17" s="299"/>
      <c r="C17" s="154">
        <f>SUM(C15:C16)</f>
        <v>400000</v>
      </c>
      <c r="D17" s="155">
        <f>+D16+D15</f>
        <v>50000</v>
      </c>
    </row>
    <row r="19" spans="1:5" ht="15.75" thickBot="1"/>
    <row r="20" spans="1:5">
      <c r="A20" s="296" t="s">
        <v>63</v>
      </c>
      <c r="B20" s="297"/>
      <c r="C20" s="79"/>
      <c r="D20" s="79"/>
      <c r="E20" s="80"/>
    </row>
    <row r="21" spans="1:5" ht="30">
      <c r="A21" s="73" t="s">
        <v>11</v>
      </c>
      <c r="B21" s="74" t="s">
        <v>64</v>
      </c>
      <c r="C21" s="81"/>
      <c r="D21" s="81"/>
      <c r="E21" s="80"/>
    </row>
    <row r="22" spans="1:5">
      <c r="A22" s="76" t="s">
        <v>12</v>
      </c>
      <c r="B22" s="132">
        <v>38</v>
      </c>
      <c r="C22" s="80"/>
      <c r="D22" s="80"/>
      <c r="E22" s="80"/>
    </row>
    <row r="23" spans="1:5">
      <c r="A23" s="77" t="s">
        <v>13</v>
      </c>
      <c r="B23" s="133">
        <v>38</v>
      </c>
      <c r="C23" s="80"/>
      <c r="D23" s="80"/>
      <c r="E23" s="80"/>
    </row>
    <row r="24" spans="1:5">
      <c r="A24" s="77" t="s">
        <v>14</v>
      </c>
      <c r="B24" s="151">
        <v>5</v>
      </c>
      <c r="C24" s="80"/>
      <c r="D24" s="80"/>
      <c r="E24" s="80"/>
    </row>
    <row r="25" spans="1:5" ht="15.75" thickBot="1">
      <c r="A25" s="82" t="s">
        <v>65</v>
      </c>
      <c r="B25" s="156">
        <f>+SUM(B22:B24)</f>
        <v>81</v>
      </c>
      <c r="C25" s="150"/>
      <c r="D25" s="80"/>
      <c r="E25" s="80"/>
    </row>
    <row r="27" spans="1:5" ht="18.75">
      <c r="A27" s="157" t="s">
        <v>140</v>
      </c>
      <c r="B27" s="158">
        <f>+B25+D10+D17</f>
        <v>177581</v>
      </c>
    </row>
    <row r="28" spans="1:5">
      <c r="A28" s="286"/>
      <c r="B28" s="286"/>
    </row>
  </sheetData>
  <mergeCells count="6">
    <mergeCell ref="A28:B28"/>
    <mergeCell ref="A13:D13"/>
    <mergeCell ref="A10:C10"/>
    <mergeCell ref="A2:D2"/>
    <mergeCell ref="A20:B20"/>
    <mergeCell ref="A17:B17"/>
  </mergeCells>
  <pageMargins left="0.70000000000000007" right="0.70000000000000007" top="1.1437007874015752" bottom="1.1437007874015752" header="0.75000000000000011" footer="0.75000000000000011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46"/>
  <sheetViews>
    <sheetView topLeftCell="A31" workbookViewId="0">
      <selection activeCell="C45" sqref="C45"/>
    </sheetView>
  </sheetViews>
  <sheetFormatPr baseColWidth="10" defaultRowHeight="15"/>
  <cols>
    <col min="1" max="1" width="11.28515625" customWidth="1"/>
    <col min="2" max="2" width="41.85546875" bestFit="1" customWidth="1"/>
    <col min="3" max="3" width="15.42578125" bestFit="1" customWidth="1"/>
    <col min="4" max="4" width="12.7109375" bestFit="1" customWidth="1"/>
    <col min="5" max="5" width="13" bestFit="1" customWidth="1"/>
    <col min="6" max="1023" width="11.28515625" customWidth="1"/>
    <col min="1024" max="1024" width="11.42578125" customWidth="1"/>
  </cols>
  <sheetData>
    <row r="1" spans="2:5" ht="15.75" thickBot="1"/>
    <row r="2" spans="2:5">
      <c r="B2" s="305" t="s">
        <v>0</v>
      </c>
      <c r="C2" s="306"/>
      <c r="D2" s="306"/>
      <c r="E2" s="307"/>
    </row>
    <row r="3" spans="2:5">
      <c r="B3" s="48"/>
      <c r="C3" s="47"/>
      <c r="D3" s="47"/>
      <c r="E3" s="49"/>
    </row>
    <row r="4" spans="2:5" ht="30">
      <c r="B4" s="50" t="s">
        <v>1</v>
      </c>
      <c r="C4" s="46" t="s">
        <v>2</v>
      </c>
      <c r="D4" s="46" t="s">
        <v>3</v>
      </c>
      <c r="E4" s="51" t="s">
        <v>4</v>
      </c>
    </row>
    <row r="5" spans="2:5">
      <c r="B5" s="48" t="s">
        <v>158</v>
      </c>
      <c r="C5" s="162">
        <v>1</v>
      </c>
      <c r="D5" s="166">
        <v>25000</v>
      </c>
      <c r="E5" s="167">
        <f>+C5*D5</f>
        <v>25000</v>
      </c>
    </row>
    <row r="6" spans="2:5">
      <c r="B6" s="48" t="s">
        <v>159</v>
      </c>
      <c r="C6" s="162">
        <v>1</v>
      </c>
      <c r="D6" s="166">
        <v>130000</v>
      </c>
      <c r="E6" s="167">
        <f t="shared" ref="E6:E19" si="0">+C6*D6</f>
        <v>130000</v>
      </c>
    </row>
    <row r="7" spans="2:5">
      <c r="B7" s="48" t="s">
        <v>160</v>
      </c>
      <c r="C7" s="162">
        <v>1</v>
      </c>
      <c r="D7" s="166">
        <v>30000</v>
      </c>
      <c r="E7" s="167">
        <f t="shared" si="0"/>
        <v>30000</v>
      </c>
    </row>
    <row r="8" spans="2:5">
      <c r="B8" s="48" t="s">
        <v>161</v>
      </c>
      <c r="C8" s="162">
        <v>1</v>
      </c>
      <c r="D8" s="166">
        <v>30000</v>
      </c>
      <c r="E8" s="167">
        <f t="shared" si="0"/>
        <v>30000</v>
      </c>
    </row>
    <row r="9" spans="2:5">
      <c r="B9" s="48" t="s">
        <v>162</v>
      </c>
      <c r="C9" s="162">
        <v>1</v>
      </c>
      <c r="D9" s="166">
        <v>140000</v>
      </c>
      <c r="E9" s="167">
        <f t="shared" si="0"/>
        <v>140000</v>
      </c>
    </row>
    <row r="10" spans="2:5">
      <c r="B10" s="48" t="s">
        <v>163</v>
      </c>
      <c r="C10" s="162">
        <v>1</v>
      </c>
      <c r="D10" s="166">
        <v>100000</v>
      </c>
      <c r="E10" s="167">
        <f t="shared" si="0"/>
        <v>100000</v>
      </c>
    </row>
    <row r="11" spans="2:5">
      <c r="B11" s="48" t="s">
        <v>164</v>
      </c>
      <c r="C11" s="162">
        <v>1</v>
      </c>
      <c r="D11" s="166">
        <v>30000</v>
      </c>
      <c r="E11" s="167">
        <f t="shared" si="0"/>
        <v>30000</v>
      </c>
    </row>
    <row r="12" spans="2:5">
      <c r="B12" s="47" t="s">
        <v>165</v>
      </c>
      <c r="C12" s="162">
        <v>1</v>
      </c>
      <c r="D12" s="166">
        <v>60000</v>
      </c>
      <c r="E12" s="168">
        <f t="shared" si="0"/>
        <v>60000</v>
      </c>
    </row>
    <row r="13" spans="2:5">
      <c r="B13" s="47" t="s">
        <v>166</v>
      </c>
      <c r="C13" s="162">
        <v>2</v>
      </c>
      <c r="D13" s="166">
        <v>10000</v>
      </c>
      <c r="E13" s="168">
        <f t="shared" si="0"/>
        <v>20000</v>
      </c>
    </row>
    <row r="14" spans="2:5">
      <c r="B14" s="47" t="s">
        <v>167</v>
      </c>
      <c r="C14" s="162">
        <v>1</v>
      </c>
      <c r="D14" s="166">
        <v>7000</v>
      </c>
      <c r="E14" s="168">
        <f t="shared" si="0"/>
        <v>7000</v>
      </c>
    </row>
    <row r="15" spans="2:5">
      <c r="B15" s="47" t="s">
        <v>168</v>
      </c>
      <c r="C15" s="162">
        <v>1</v>
      </c>
      <c r="D15" s="166">
        <v>10000</v>
      </c>
      <c r="E15" s="168">
        <f t="shared" si="0"/>
        <v>10000</v>
      </c>
    </row>
    <row r="16" spans="2:5">
      <c r="B16" s="47" t="s">
        <v>169</v>
      </c>
      <c r="C16" s="162">
        <v>1</v>
      </c>
      <c r="D16" s="166">
        <v>25000</v>
      </c>
      <c r="E16" s="168">
        <f t="shared" si="0"/>
        <v>25000</v>
      </c>
    </row>
    <row r="17" spans="2:5">
      <c r="B17" s="47" t="s">
        <v>170</v>
      </c>
      <c r="C17" s="162">
        <v>1</v>
      </c>
      <c r="D17" s="166">
        <v>31000</v>
      </c>
      <c r="E17" s="168">
        <f t="shared" si="0"/>
        <v>31000</v>
      </c>
    </row>
    <row r="18" spans="2:5">
      <c r="B18" s="47" t="s">
        <v>171</v>
      </c>
      <c r="C18" s="162">
        <v>1</v>
      </c>
      <c r="D18" s="166">
        <v>5000</v>
      </c>
      <c r="E18" s="168">
        <f t="shared" si="0"/>
        <v>5000</v>
      </c>
    </row>
    <row r="19" spans="2:5">
      <c r="B19" s="47" t="s">
        <v>172</v>
      </c>
      <c r="C19" s="162">
        <v>1</v>
      </c>
      <c r="D19" s="166">
        <v>12000</v>
      </c>
      <c r="E19" s="168">
        <f t="shared" si="0"/>
        <v>12000</v>
      </c>
    </row>
    <row r="20" spans="2:5">
      <c r="B20" s="324" t="s">
        <v>5</v>
      </c>
      <c r="C20" s="325"/>
      <c r="D20" s="326"/>
      <c r="E20" s="169">
        <f>SUM(E5:E19)</f>
        <v>655000</v>
      </c>
    </row>
    <row r="21" spans="2:5">
      <c r="B21" s="164"/>
      <c r="C21" s="164"/>
      <c r="D21" s="164"/>
      <c r="E21" s="163"/>
    </row>
    <row r="22" spans="2:5" ht="15.75" thickBot="1">
      <c r="B22" s="1"/>
      <c r="C22" s="1"/>
      <c r="D22" s="1"/>
      <c r="E22" s="1"/>
    </row>
    <row r="23" spans="2:5" ht="30" customHeight="1">
      <c r="B23" s="308" t="s">
        <v>6</v>
      </c>
      <c r="C23" s="309"/>
      <c r="D23" s="309"/>
      <c r="E23" s="310"/>
    </row>
    <row r="24" spans="2:5">
      <c r="B24" s="53"/>
      <c r="C24" s="54"/>
      <c r="D24" s="54"/>
      <c r="E24" s="55"/>
    </row>
    <row r="25" spans="2:5" ht="30">
      <c r="B25" s="56" t="s">
        <v>1</v>
      </c>
      <c r="C25" s="57" t="s">
        <v>2</v>
      </c>
      <c r="D25" s="57" t="s">
        <v>3</v>
      </c>
      <c r="E25" s="58" t="s">
        <v>4</v>
      </c>
    </row>
    <row r="26" spans="2:5">
      <c r="B26" s="313" t="s">
        <v>54</v>
      </c>
      <c r="C26" s="314"/>
      <c r="D26" s="314"/>
      <c r="E26" s="315"/>
    </row>
    <row r="27" spans="2:5">
      <c r="B27" s="165" t="s">
        <v>173</v>
      </c>
      <c r="C27" s="134">
        <v>1</v>
      </c>
      <c r="D27" s="170">
        <v>250000</v>
      </c>
      <c r="E27" s="171">
        <v>250000</v>
      </c>
    </row>
    <row r="28" spans="2:5">
      <c r="B28" s="59" t="s">
        <v>53</v>
      </c>
      <c r="C28" s="162">
        <v>1</v>
      </c>
      <c r="D28" s="145">
        <v>1000000</v>
      </c>
      <c r="E28" s="172">
        <f t="shared" ref="E28" si="1">+C28*D28</f>
        <v>1000000</v>
      </c>
    </row>
    <row r="29" spans="2:5">
      <c r="B29" s="59" t="s">
        <v>174</v>
      </c>
      <c r="C29" s="162">
        <v>1</v>
      </c>
      <c r="D29" s="145">
        <v>170000</v>
      </c>
      <c r="E29" s="172">
        <f>+C29*D29</f>
        <v>170000</v>
      </c>
    </row>
    <row r="30" spans="2:5">
      <c r="B30" s="319" t="s">
        <v>56</v>
      </c>
      <c r="C30" s="320"/>
      <c r="D30" s="320"/>
      <c r="E30" s="60">
        <f>SUM(E27:E29)</f>
        <v>1420000</v>
      </c>
    </row>
    <row r="31" spans="2:5">
      <c r="B31" s="316" t="s">
        <v>55</v>
      </c>
      <c r="C31" s="317"/>
      <c r="D31" s="317"/>
      <c r="E31" s="318"/>
    </row>
    <row r="32" spans="2:5">
      <c r="B32" s="135" t="s">
        <v>151</v>
      </c>
      <c r="C32" s="61">
        <v>1</v>
      </c>
      <c r="D32" s="145">
        <v>250000</v>
      </c>
      <c r="E32" s="173">
        <v>250000</v>
      </c>
    </row>
    <row r="33" spans="2:5">
      <c r="B33" s="135" t="s">
        <v>150</v>
      </c>
      <c r="C33" s="61">
        <v>2</v>
      </c>
      <c r="D33" s="145">
        <v>42000</v>
      </c>
      <c r="E33" s="172">
        <v>50000</v>
      </c>
    </row>
    <row r="34" spans="2:5">
      <c r="B34" s="321" t="s">
        <v>57</v>
      </c>
      <c r="C34" s="322"/>
      <c r="D34" s="323"/>
      <c r="E34" s="62">
        <f>+SUM(E32:E33)</f>
        <v>300000</v>
      </c>
    </row>
    <row r="35" spans="2:5" ht="15.75" thickBot="1">
      <c r="B35" s="311" t="s">
        <v>58</v>
      </c>
      <c r="C35" s="312"/>
      <c r="D35" s="312"/>
      <c r="E35" s="63">
        <f>+E34+E30</f>
        <v>1720000</v>
      </c>
    </row>
    <row r="36" spans="2:5" ht="14.85" customHeight="1"/>
    <row r="37" spans="2:5" ht="15.75" thickBot="1"/>
    <row r="38" spans="2:5" ht="15.75">
      <c r="B38" s="300" t="s">
        <v>152</v>
      </c>
      <c r="C38" s="301"/>
      <c r="D38" s="301"/>
      <c r="E38" s="302"/>
    </row>
    <row r="39" spans="2:5">
      <c r="B39" s="93" t="s">
        <v>153</v>
      </c>
      <c r="C39" s="140" t="s">
        <v>154</v>
      </c>
      <c r="D39" s="140" t="s">
        <v>155</v>
      </c>
      <c r="E39" s="94" t="s">
        <v>4</v>
      </c>
    </row>
    <row r="40" spans="2:5">
      <c r="B40" s="70" t="str">
        <f>'CLASIFICACIÓN DE COSTOS'!A4</f>
        <v>Cables electricos</v>
      </c>
      <c r="C40" s="177">
        <f>'CLASIFICACIÓN DE COSTOS'!B4</f>
        <v>8000</v>
      </c>
      <c r="D40" s="14">
        <v>80</v>
      </c>
      <c r="E40" s="176">
        <f t="shared" ref="E40:E45" si="2">+C40*D40</f>
        <v>640000</v>
      </c>
    </row>
    <row r="41" spans="2:5">
      <c r="B41" s="70" t="str">
        <f>'CLASIFICACIÓN DE COSTOS'!A5</f>
        <v>Cajas de conexión</v>
      </c>
      <c r="C41" s="177">
        <f>'CLASIFICACIÓN DE COSTOS'!B5</f>
        <v>4500</v>
      </c>
      <c r="D41" s="14">
        <v>8</v>
      </c>
      <c r="E41" s="176">
        <f t="shared" si="2"/>
        <v>36000</v>
      </c>
    </row>
    <row r="42" spans="2:5">
      <c r="B42" s="70" t="str">
        <f>'CLASIFICACIÓN DE COSTOS'!A6</f>
        <v>Porta lamparas</v>
      </c>
      <c r="C42" s="177">
        <f>'CLASIFICACIÓN DE COSTOS'!B6</f>
        <v>13000</v>
      </c>
      <c r="D42" s="14">
        <v>8</v>
      </c>
      <c r="E42" s="176">
        <f t="shared" si="2"/>
        <v>104000</v>
      </c>
    </row>
    <row r="43" spans="2:5">
      <c r="B43" s="137" t="str">
        <f>'CLASIFICACIÓN DE COSTOS'!A8</f>
        <v>Pulsadores</v>
      </c>
      <c r="C43" s="174">
        <f>'CLASIFICACIÓN DE COSTOS'!B8</f>
        <v>20000</v>
      </c>
      <c r="D43" s="175">
        <v>8</v>
      </c>
      <c r="E43" s="176">
        <f t="shared" si="2"/>
        <v>160000</v>
      </c>
    </row>
    <row r="44" spans="2:5">
      <c r="B44" s="70" t="str">
        <f>'CLASIFICACIÓN DE COSTOS'!A7</f>
        <v>Interruptores</v>
      </c>
      <c r="C44" s="177">
        <f>'CLASIFICACIÓN DE COSTOS'!B7</f>
        <v>6500</v>
      </c>
      <c r="D44" s="14">
        <v>8</v>
      </c>
      <c r="E44" s="176">
        <f t="shared" si="2"/>
        <v>52000</v>
      </c>
    </row>
    <row r="45" spans="2:5">
      <c r="B45" s="92" t="s">
        <v>147</v>
      </c>
      <c r="C45" s="177">
        <f>+'CLASIFICACIÓN DE COSTOS'!B9</f>
        <v>3500</v>
      </c>
      <c r="D45" s="14">
        <v>8</v>
      </c>
      <c r="E45" s="176">
        <f t="shared" si="2"/>
        <v>28000</v>
      </c>
    </row>
    <row r="46" spans="2:5" ht="15.75" thickBot="1">
      <c r="B46" s="303" t="s">
        <v>74</v>
      </c>
      <c r="C46" s="304"/>
      <c r="D46" s="304"/>
      <c r="E46" s="178">
        <f>SUM(E40:E45)</f>
        <v>1020000</v>
      </c>
    </row>
  </sheetData>
  <mergeCells count="10">
    <mergeCell ref="B38:E38"/>
    <mergeCell ref="B46:D46"/>
    <mergeCell ref="B2:E2"/>
    <mergeCell ref="B23:E23"/>
    <mergeCell ref="B35:D35"/>
    <mergeCell ref="B26:E26"/>
    <mergeCell ref="B31:E31"/>
    <mergeCell ref="B30:D30"/>
    <mergeCell ref="B34:D34"/>
    <mergeCell ref="B20:D20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W25"/>
  <sheetViews>
    <sheetView topLeftCell="A4" workbookViewId="0">
      <selection activeCell="B2" sqref="B2:B3"/>
    </sheetView>
  </sheetViews>
  <sheetFormatPr baseColWidth="10" defaultRowHeight="15"/>
  <cols>
    <col min="1" max="1" width="11.28515625" style="11" customWidth="1"/>
    <col min="2" max="2" width="41.85546875" style="11" bestFit="1" customWidth="1"/>
    <col min="3" max="3" width="10.28515625" style="11" bestFit="1" customWidth="1"/>
    <col min="4" max="4" width="16.42578125" style="11" bestFit="1" customWidth="1"/>
    <col min="5" max="5" width="13" style="11" bestFit="1" customWidth="1"/>
    <col min="6" max="6" width="15.42578125" style="11" bestFit="1" customWidth="1"/>
    <col min="7" max="7" width="19.42578125" style="11" bestFit="1" customWidth="1"/>
    <col min="8" max="19" width="11.28515625" style="11" customWidth="1"/>
    <col min="20" max="20" width="14.5703125" style="11" bestFit="1" customWidth="1"/>
    <col min="21" max="23" width="14" style="11" bestFit="1" customWidth="1"/>
    <col min="24" max="869" width="11.28515625" style="11" customWidth="1"/>
    <col min="870" max="870" width="11.42578125" style="11" customWidth="1"/>
    <col min="871" max="16384" width="11.42578125" style="11"/>
  </cols>
  <sheetData>
    <row r="1" spans="2:23" ht="15.75" thickBot="1"/>
    <row r="2" spans="2:23">
      <c r="B2" s="332" t="s">
        <v>1</v>
      </c>
      <c r="C2" s="334" t="s">
        <v>2</v>
      </c>
      <c r="D2" s="334" t="s">
        <v>3</v>
      </c>
      <c r="E2" s="334" t="s">
        <v>4</v>
      </c>
      <c r="F2" s="330" t="s">
        <v>26</v>
      </c>
      <c r="G2" s="331"/>
      <c r="H2" s="338" t="s">
        <v>16</v>
      </c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9"/>
      <c r="T2" s="337" t="s">
        <v>112</v>
      </c>
      <c r="U2" s="336" t="s">
        <v>113</v>
      </c>
      <c r="V2" s="337" t="s">
        <v>114</v>
      </c>
      <c r="W2" s="336" t="s">
        <v>115</v>
      </c>
    </row>
    <row r="3" spans="2:23">
      <c r="B3" s="333"/>
      <c r="C3" s="335"/>
      <c r="D3" s="335"/>
      <c r="E3" s="335"/>
      <c r="F3" s="13" t="s">
        <v>97</v>
      </c>
      <c r="G3" s="189" t="s">
        <v>98</v>
      </c>
      <c r="H3" s="192" t="s">
        <v>99</v>
      </c>
      <c r="I3" s="193" t="s">
        <v>101</v>
      </c>
      <c r="J3" s="193" t="s">
        <v>102</v>
      </c>
      <c r="K3" s="193" t="s">
        <v>103</v>
      </c>
      <c r="L3" s="193" t="s">
        <v>104</v>
      </c>
      <c r="M3" s="193" t="s">
        <v>105</v>
      </c>
      <c r="N3" s="193" t="s">
        <v>106</v>
      </c>
      <c r="O3" s="193" t="s">
        <v>107</v>
      </c>
      <c r="P3" s="193" t="s">
        <v>108</v>
      </c>
      <c r="Q3" s="193" t="s">
        <v>109</v>
      </c>
      <c r="R3" s="193" t="s">
        <v>110</v>
      </c>
      <c r="S3" s="193" t="s">
        <v>111</v>
      </c>
      <c r="T3" s="337"/>
      <c r="U3" s="336"/>
      <c r="V3" s="337"/>
      <c r="W3" s="336"/>
    </row>
    <row r="4" spans="2:23">
      <c r="B4" s="185" t="str">
        <f>+'COMPRAS MES 1'!B5</f>
        <v>TESTER O MULTIMETRO DE AGUJA</v>
      </c>
      <c r="C4" s="162">
        <f>+'COMPRAS MES 1'!C5</f>
        <v>1</v>
      </c>
      <c r="D4" s="166">
        <f>+'COMPRAS MES 1'!D5</f>
        <v>25000</v>
      </c>
      <c r="E4" s="168">
        <f>+'COMPRAS MES 1'!E5</f>
        <v>25000</v>
      </c>
      <c r="F4" s="131">
        <v>5</v>
      </c>
      <c r="G4" s="190">
        <f>+(E4/F4)/12</f>
        <v>416.66666666666669</v>
      </c>
      <c r="H4" s="187">
        <f>+G4</f>
        <v>416.66666666666669</v>
      </c>
      <c r="I4" s="179">
        <f t="shared" ref="I4:S4" si="0">+H4</f>
        <v>416.66666666666669</v>
      </c>
      <c r="J4" s="179">
        <f t="shared" si="0"/>
        <v>416.66666666666669</v>
      </c>
      <c r="K4" s="179">
        <f t="shared" si="0"/>
        <v>416.66666666666669</v>
      </c>
      <c r="L4" s="179">
        <f t="shared" si="0"/>
        <v>416.66666666666669</v>
      </c>
      <c r="M4" s="179">
        <f t="shared" si="0"/>
        <v>416.66666666666669</v>
      </c>
      <c r="N4" s="179">
        <f t="shared" si="0"/>
        <v>416.66666666666669</v>
      </c>
      <c r="O4" s="179">
        <f t="shared" si="0"/>
        <v>416.66666666666669</v>
      </c>
      <c r="P4" s="179">
        <f t="shared" si="0"/>
        <v>416.66666666666669</v>
      </c>
      <c r="Q4" s="179">
        <f t="shared" si="0"/>
        <v>416.66666666666669</v>
      </c>
      <c r="R4" s="179">
        <f t="shared" si="0"/>
        <v>416.66666666666669</v>
      </c>
      <c r="S4" s="179">
        <f t="shared" si="0"/>
        <v>416.66666666666669</v>
      </c>
      <c r="T4" s="179">
        <f>SUM(H4:S4)</f>
        <v>5000</v>
      </c>
      <c r="U4" s="180">
        <f>+T4</f>
        <v>5000</v>
      </c>
      <c r="V4" s="179">
        <f t="shared" ref="V4:W4" si="1">+U4</f>
        <v>5000</v>
      </c>
      <c r="W4" s="180">
        <f t="shared" si="1"/>
        <v>5000</v>
      </c>
    </row>
    <row r="5" spans="2:23">
      <c r="B5" s="185" t="str">
        <f>+'COMPRAS MES 1'!B6</f>
        <v>TALADRO</v>
      </c>
      <c r="C5" s="162">
        <f>+'COMPRAS MES 1'!C6</f>
        <v>1</v>
      </c>
      <c r="D5" s="166">
        <f>+'COMPRAS MES 1'!D6</f>
        <v>130000</v>
      </c>
      <c r="E5" s="168">
        <f>+'COMPRAS MES 1'!E6</f>
        <v>130000</v>
      </c>
      <c r="F5" s="131">
        <v>5</v>
      </c>
      <c r="G5" s="190">
        <f t="shared" ref="G5:G16" si="2">+(E5/F5)/12</f>
        <v>2166.6666666666665</v>
      </c>
      <c r="H5" s="187">
        <f t="shared" ref="H5:S5" si="3">+G5</f>
        <v>2166.6666666666665</v>
      </c>
      <c r="I5" s="179">
        <f t="shared" si="3"/>
        <v>2166.6666666666665</v>
      </c>
      <c r="J5" s="179">
        <f t="shared" si="3"/>
        <v>2166.6666666666665</v>
      </c>
      <c r="K5" s="179">
        <f t="shared" si="3"/>
        <v>2166.6666666666665</v>
      </c>
      <c r="L5" s="179">
        <f t="shared" si="3"/>
        <v>2166.6666666666665</v>
      </c>
      <c r="M5" s="179">
        <f t="shared" si="3"/>
        <v>2166.6666666666665</v>
      </c>
      <c r="N5" s="179">
        <f t="shared" si="3"/>
        <v>2166.6666666666665</v>
      </c>
      <c r="O5" s="179">
        <f t="shared" si="3"/>
        <v>2166.6666666666665</v>
      </c>
      <c r="P5" s="179">
        <f t="shared" si="3"/>
        <v>2166.6666666666665</v>
      </c>
      <c r="Q5" s="179">
        <f t="shared" si="3"/>
        <v>2166.6666666666665</v>
      </c>
      <c r="R5" s="179">
        <f t="shared" si="3"/>
        <v>2166.6666666666665</v>
      </c>
      <c r="S5" s="179">
        <f t="shared" si="3"/>
        <v>2166.6666666666665</v>
      </c>
      <c r="T5" s="179">
        <f t="shared" ref="T5:T25" si="4">SUM(H5:S5)</f>
        <v>26000.000000000004</v>
      </c>
      <c r="U5" s="180">
        <f t="shared" ref="U5:W25" si="5">+T5</f>
        <v>26000.000000000004</v>
      </c>
      <c r="V5" s="179">
        <f t="shared" si="5"/>
        <v>26000.000000000004</v>
      </c>
      <c r="W5" s="180">
        <f t="shared" si="5"/>
        <v>26000.000000000004</v>
      </c>
    </row>
    <row r="6" spans="2:23">
      <c r="B6" s="185" t="str">
        <f>+'COMPRAS MES 1'!B7</f>
        <v>MEDIDOR DE CABLES</v>
      </c>
      <c r="C6" s="162">
        <f>+'COMPRAS MES 1'!C7</f>
        <v>1</v>
      </c>
      <c r="D6" s="166">
        <f>+'COMPRAS MES 1'!D7</f>
        <v>30000</v>
      </c>
      <c r="E6" s="168">
        <f>+'COMPRAS MES 1'!E7</f>
        <v>30000</v>
      </c>
      <c r="F6" s="131">
        <v>5</v>
      </c>
      <c r="G6" s="190">
        <f t="shared" si="2"/>
        <v>500</v>
      </c>
      <c r="H6" s="187">
        <f t="shared" ref="H6:S6" si="6">+G6</f>
        <v>500</v>
      </c>
      <c r="I6" s="179">
        <f t="shared" si="6"/>
        <v>500</v>
      </c>
      <c r="J6" s="179">
        <f t="shared" si="6"/>
        <v>500</v>
      </c>
      <c r="K6" s="179">
        <f t="shared" si="6"/>
        <v>500</v>
      </c>
      <c r="L6" s="179">
        <f t="shared" si="6"/>
        <v>500</v>
      </c>
      <c r="M6" s="179">
        <f t="shared" si="6"/>
        <v>500</v>
      </c>
      <c r="N6" s="179">
        <f t="shared" si="6"/>
        <v>500</v>
      </c>
      <c r="O6" s="179">
        <f t="shared" si="6"/>
        <v>500</v>
      </c>
      <c r="P6" s="179">
        <f t="shared" si="6"/>
        <v>500</v>
      </c>
      <c r="Q6" s="179">
        <f t="shared" si="6"/>
        <v>500</v>
      </c>
      <c r="R6" s="179">
        <f t="shared" si="6"/>
        <v>500</v>
      </c>
      <c r="S6" s="179">
        <f t="shared" si="6"/>
        <v>500</v>
      </c>
      <c r="T6" s="179">
        <f t="shared" si="4"/>
        <v>6000</v>
      </c>
      <c r="U6" s="180">
        <f t="shared" si="5"/>
        <v>6000</v>
      </c>
      <c r="V6" s="179">
        <f t="shared" si="5"/>
        <v>6000</v>
      </c>
      <c r="W6" s="180">
        <f t="shared" si="5"/>
        <v>6000</v>
      </c>
    </row>
    <row r="7" spans="2:23">
      <c r="B7" s="185" t="str">
        <f>+'COMPRAS MES 1'!B8</f>
        <v>PROBADOR DE CABLES</v>
      </c>
      <c r="C7" s="162">
        <f>+'COMPRAS MES 1'!C8</f>
        <v>1</v>
      </c>
      <c r="D7" s="166">
        <f>+'COMPRAS MES 1'!D8</f>
        <v>30000</v>
      </c>
      <c r="E7" s="168">
        <f>+'COMPRAS MES 1'!E8</f>
        <v>30000</v>
      </c>
      <c r="F7" s="131">
        <v>5</v>
      </c>
      <c r="G7" s="190">
        <f t="shared" si="2"/>
        <v>500</v>
      </c>
      <c r="H7" s="187">
        <f t="shared" ref="H7:S7" si="7">+G7</f>
        <v>500</v>
      </c>
      <c r="I7" s="179">
        <f t="shared" si="7"/>
        <v>500</v>
      </c>
      <c r="J7" s="179">
        <f t="shared" si="7"/>
        <v>500</v>
      </c>
      <c r="K7" s="179">
        <f t="shared" si="7"/>
        <v>500</v>
      </c>
      <c r="L7" s="179">
        <f t="shared" si="7"/>
        <v>500</v>
      </c>
      <c r="M7" s="179">
        <f t="shared" si="7"/>
        <v>500</v>
      </c>
      <c r="N7" s="179">
        <f t="shared" si="7"/>
        <v>500</v>
      </c>
      <c r="O7" s="179">
        <f t="shared" si="7"/>
        <v>500</v>
      </c>
      <c r="P7" s="179">
        <f t="shared" si="7"/>
        <v>500</v>
      </c>
      <c r="Q7" s="179">
        <f t="shared" si="7"/>
        <v>500</v>
      </c>
      <c r="R7" s="179">
        <f t="shared" si="7"/>
        <v>500</v>
      </c>
      <c r="S7" s="179">
        <f t="shared" si="7"/>
        <v>500</v>
      </c>
      <c r="T7" s="179">
        <f t="shared" si="4"/>
        <v>6000</v>
      </c>
      <c r="U7" s="180">
        <f t="shared" si="5"/>
        <v>6000</v>
      </c>
      <c r="V7" s="179">
        <f t="shared" si="5"/>
        <v>6000</v>
      </c>
      <c r="W7" s="180">
        <f t="shared" si="5"/>
        <v>6000</v>
      </c>
    </row>
    <row r="8" spans="2:23">
      <c r="B8" s="185" t="str">
        <f>+'COMPRAS MES 1'!B9</f>
        <v>CAUTIN</v>
      </c>
      <c r="C8" s="162">
        <f>+'COMPRAS MES 1'!C9</f>
        <v>1</v>
      </c>
      <c r="D8" s="166">
        <f>+'COMPRAS MES 1'!D9</f>
        <v>140000</v>
      </c>
      <c r="E8" s="168">
        <f>+'COMPRAS MES 1'!E9</f>
        <v>140000</v>
      </c>
      <c r="F8" s="131">
        <v>5</v>
      </c>
      <c r="G8" s="190">
        <f t="shared" si="2"/>
        <v>2333.3333333333335</v>
      </c>
      <c r="H8" s="187">
        <f t="shared" ref="H8:S8" si="8">+G8</f>
        <v>2333.3333333333335</v>
      </c>
      <c r="I8" s="179">
        <f t="shared" si="8"/>
        <v>2333.3333333333335</v>
      </c>
      <c r="J8" s="179">
        <f t="shared" si="8"/>
        <v>2333.3333333333335</v>
      </c>
      <c r="K8" s="179">
        <f t="shared" si="8"/>
        <v>2333.3333333333335</v>
      </c>
      <c r="L8" s="179">
        <f t="shared" si="8"/>
        <v>2333.3333333333335</v>
      </c>
      <c r="M8" s="179">
        <f t="shared" si="8"/>
        <v>2333.3333333333335</v>
      </c>
      <c r="N8" s="179">
        <f t="shared" si="8"/>
        <v>2333.3333333333335</v>
      </c>
      <c r="O8" s="179">
        <f t="shared" si="8"/>
        <v>2333.3333333333335</v>
      </c>
      <c r="P8" s="179">
        <f t="shared" si="8"/>
        <v>2333.3333333333335</v>
      </c>
      <c r="Q8" s="179">
        <f t="shared" si="8"/>
        <v>2333.3333333333335</v>
      </c>
      <c r="R8" s="179">
        <f t="shared" si="8"/>
        <v>2333.3333333333335</v>
      </c>
      <c r="S8" s="179">
        <f t="shared" si="8"/>
        <v>2333.3333333333335</v>
      </c>
      <c r="T8" s="179">
        <f t="shared" si="4"/>
        <v>27999.999999999996</v>
      </c>
      <c r="U8" s="180">
        <f t="shared" si="5"/>
        <v>27999.999999999996</v>
      </c>
      <c r="V8" s="179">
        <f t="shared" si="5"/>
        <v>27999.999999999996</v>
      </c>
      <c r="W8" s="180">
        <f t="shared" si="5"/>
        <v>27999.999999999996</v>
      </c>
    </row>
    <row r="9" spans="2:23" ht="15.75" customHeight="1">
      <c r="B9" s="185" t="str">
        <f>+'COMPRAS MES 1'!B10</f>
        <v>PINZA ELECTRONICA</v>
      </c>
      <c r="C9" s="162">
        <f>+'COMPRAS MES 1'!C10</f>
        <v>1</v>
      </c>
      <c r="D9" s="166">
        <f>+'COMPRAS MES 1'!D10</f>
        <v>100000</v>
      </c>
      <c r="E9" s="168">
        <f>+'COMPRAS MES 1'!E10</f>
        <v>100000</v>
      </c>
      <c r="F9" s="131">
        <v>5</v>
      </c>
      <c r="G9" s="190">
        <f t="shared" si="2"/>
        <v>1666.6666666666667</v>
      </c>
      <c r="H9" s="187">
        <f t="shared" ref="H9:S9" si="9">+G9</f>
        <v>1666.6666666666667</v>
      </c>
      <c r="I9" s="179">
        <f t="shared" si="9"/>
        <v>1666.6666666666667</v>
      </c>
      <c r="J9" s="179">
        <f t="shared" si="9"/>
        <v>1666.6666666666667</v>
      </c>
      <c r="K9" s="179">
        <f t="shared" si="9"/>
        <v>1666.6666666666667</v>
      </c>
      <c r="L9" s="179">
        <f t="shared" si="9"/>
        <v>1666.6666666666667</v>
      </c>
      <c r="M9" s="179">
        <f t="shared" si="9"/>
        <v>1666.6666666666667</v>
      </c>
      <c r="N9" s="179">
        <f t="shared" si="9"/>
        <v>1666.6666666666667</v>
      </c>
      <c r="O9" s="179">
        <f t="shared" si="9"/>
        <v>1666.6666666666667</v>
      </c>
      <c r="P9" s="179">
        <f t="shared" si="9"/>
        <v>1666.6666666666667</v>
      </c>
      <c r="Q9" s="179">
        <f t="shared" si="9"/>
        <v>1666.6666666666667</v>
      </c>
      <c r="R9" s="179">
        <f t="shared" si="9"/>
        <v>1666.6666666666667</v>
      </c>
      <c r="S9" s="179">
        <f t="shared" si="9"/>
        <v>1666.6666666666667</v>
      </c>
      <c r="T9" s="179">
        <f t="shared" si="4"/>
        <v>20000</v>
      </c>
      <c r="U9" s="180">
        <f t="shared" si="5"/>
        <v>20000</v>
      </c>
      <c r="V9" s="179">
        <f t="shared" si="5"/>
        <v>20000</v>
      </c>
      <c r="W9" s="180">
        <f t="shared" si="5"/>
        <v>20000</v>
      </c>
    </row>
    <row r="10" spans="2:23">
      <c r="B10" s="185" t="str">
        <f>+'COMPRAS MES 1'!B11</f>
        <v>MARTILLO CON MAGO DE FIBRA</v>
      </c>
      <c r="C10" s="162">
        <f>+'COMPRAS MES 1'!C11</f>
        <v>1</v>
      </c>
      <c r="D10" s="166">
        <f>+'COMPRAS MES 1'!D11</f>
        <v>30000</v>
      </c>
      <c r="E10" s="168">
        <f>+'COMPRAS MES 1'!E11</f>
        <v>30000</v>
      </c>
      <c r="F10" s="131">
        <v>5</v>
      </c>
      <c r="G10" s="190">
        <f t="shared" si="2"/>
        <v>500</v>
      </c>
      <c r="H10" s="187">
        <f t="shared" ref="H10:S14" si="10">+G10</f>
        <v>500</v>
      </c>
      <c r="I10" s="179">
        <f t="shared" si="10"/>
        <v>500</v>
      </c>
      <c r="J10" s="179">
        <f t="shared" si="10"/>
        <v>500</v>
      </c>
      <c r="K10" s="179">
        <f t="shared" si="10"/>
        <v>500</v>
      </c>
      <c r="L10" s="179">
        <f t="shared" si="10"/>
        <v>500</v>
      </c>
      <c r="M10" s="179">
        <f t="shared" si="10"/>
        <v>500</v>
      </c>
      <c r="N10" s="179">
        <f t="shared" si="10"/>
        <v>500</v>
      </c>
      <c r="O10" s="179">
        <f t="shared" si="10"/>
        <v>500</v>
      </c>
      <c r="P10" s="179">
        <f t="shared" si="10"/>
        <v>500</v>
      </c>
      <c r="Q10" s="179">
        <f t="shared" si="10"/>
        <v>500</v>
      </c>
      <c r="R10" s="179">
        <f t="shared" si="10"/>
        <v>500</v>
      </c>
      <c r="S10" s="179">
        <f t="shared" si="10"/>
        <v>500</v>
      </c>
      <c r="T10" s="179">
        <f t="shared" si="4"/>
        <v>6000</v>
      </c>
      <c r="U10" s="180">
        <f t="shared" si="5"/>
        <v>6000</v>
      </c>
      <c r="V10" s="179">
        <f t="shared" si="5"/>
        <v>6000</v>
      </c>
      <c r="W10" s="180">
        <f t="shared" si="5"/>
        <v>6000</v>
      </c>
    </row>
    <row r="11" spans="2:23">
      <c r="B11" s="185" t="str">
        <f>+'COMPRAS MES 1'!B12</f>
        <v>MARTILLO DE BOLA CON MANGO</v>
      </c>
      <c r="C11" s="162">
        <f>+'COMPRAS MES 1'!C12</f>
        <v>1</v>
      </c>
      <c r="D11" s="166">
        <f>+'COMPRAS MES 1'!D12</f>
        <v>60000</v>
      </c>
      <c r="E11" s="168">
        <f>+'COMPRAS MES 1'!E12</f>
        <v>60000</v>
      </c>
      <c r="F11" s="131">
        <v>5</v>
      </c>
      <c r="G11" s="190">
        <f t="shared" si="2"/>
        <v>1000</v>
      </c>
      <c r="H11" s="187">
        <f t="shared" si="10"/>
        <v>1000</v>
      </c>
      <c r="I11" s="179">
        <f t="shared" si="10"/>
        <v>1000</v>
      </c>
      <c r="J11" s="179">
        <f t="shared" si="10"/>
        <v>1000</v>
      </c>
      <c r="K11" s="179">
        <f t="shared" si="10"/>
        <v>1000</v>
      </c>
      <c r="L11" s="179">
        <f t="shared" si="10"/>
        <v>1000</v>
      </c>
      <c r="M11" s="179">
        <f t="shared" si="10"/>
        <v>1000</v>
      </c>
      <c r="N11" s="179">
        <f t="shared" si="10"/>
        <v>1000</v>
      </c>
      <c r="O11" s="179">
        <f t="shared" si="10"/>
        <v>1000</v>
      </c>
      <c r="P11" s="179">
        <f t="shared" si="10"/>
        <v>1000</v>
      </c>
      <c r="Q11" s="179">
        <f t="shared" si="10"/>
        <v>1000</v>
      </c>
      <c r="R11" s="179">
        <f t="shared" si="10"/>
        <v>1000</v>
      </c>
      <c r="S11" s="179">
        <f t="shared" si="10"/>
        <v>1000</v>
      </c>
      <c r="T11" s="179">
        <f t="shared" si="4"/>
        <v>12000</v>
      </c>
      <c r="U11" s="180">
        <f t="shared" si="5"/>
        <v>12000</v>
      </c>
      <c r="V11" s="179">
        <f t="shared" si="5"/>
        <v>12000</v>
      </c>
      <c r="W11" s="180">
        <f t="shared" si="5"/>
        <v>12000</v>
      </c>
    </row>
    <row r="12" spans="2:23">
      <c r="B12" s="185" t="str">
        <f>+'COMPRAS MES 1'!B13</f>
        <v>DESTORNILLADOR DE ESTRELLA Y PLANO</v>
      </c>
      <c r="C12" s="162">
        <f>+'COMPRAS MES 1'!C13</f>
        <v>2</v>
      </c>
      <c r="D12" s="166">
        <f>+'COMPRAS MES 1'!D13</f>
        <v>10000</v>
      </c>
      <c r="E12" s="168">
        <f>+'COMPRAS MES 1'!E13</f>
        <v>20000</v>
      </c>
      <c r="F12" s="131">
        <v>5</v>
      </c>
      <c r="G12" s="190">
        <f t="shared" si="2"/>
        <v>333.33333333333331</v>
      </c>
      <c r="H12" s="187">
        <f t="shared" si="10"/>
        <v>333.33333333333331</v>
      </c>
      <c r="I12" s="179">
        <f t="shared" si="10"/>
        <v>333.33333333333331</v>
      </c>
      <c r="J12" s="179">
        <f t="shared" si="10"/>
        <v>333.33333333333331</v>
      </c>
      <c r="K12" s="179">
        <f t="shared" si="10"/>
        <v>333.33333333333331</v>
      </c>
      <c r="L12" s="179">
        <f t="shared" si="10"/>
        <v>333.33333333333331</v>
      </c>
      <c r="M12" s="179">
        <f t="shared" si="10"/>
        <v>333.33333333333331</v>
      </c>
      <c r="N12" s="179">
        <f t="shared" si="10"/>
        <v>333.33333333333331</v>
      </c>
      <c r="O12" s="179">
        <f t="shared" si="10"/>
        <v>333.33333333333331</v>
      </c>
      <c r="P12" s="179">
        <f t="shared" si="10"/>
        <v>333.33333333333331</v>
      </c>
      <c r="Q12" s="179">
        <f t="shared" si="10"/>
        <v>333.33333333333331</v>
      </c>
      <c r="R12" s="179">
        <f t="shared" si="10"/>
        <v>333.33333333333331</v>
      </c>
      <c r="S12" s="179">
        <f t="shared" si="10"/>
        <v>333.33333333333331</v>
      </c>
      <c r="T12" s="179">
        <f t="shared" si="4"/>
        <v>4000.0000000000005</v>
      </c>
      <c r="U12" s="180">
        <f t="shared" si="5"/>
        <v>4000.0000000000005</v>
      </c>
      <c r="V12" s="179">
        <f t="shared" si="5"/>
        <v>4000.0000000000005</v>
      </c>
      <c r="W12" s="180">
        <f t="shared" si="5"/>
        <v>4000.0000000000005</v>
      </c>
    </row>
    <row r="13" spans="2:23">
      <c r="B13" s="185" t="str">
        <f>+'COMPRAS MES 1'!B14</f>
        <v xml:space="preserve">PINZA DE CORTE </v>
      </c>
      <c r="C13" s="162">
        <f>+'COMPRAS MES 1'!C14</f>
        <v>1</v>
      </c>
      <c r="D13" s="166">
        <f>+'COMPRAS MES 1'!D14</f>
        <v>7000</v>
      </c>
      <c r="E13" s="168">
        <f>+'COMPRAS MES 1'!E14</f>
        <v>7000</v>
      </c>
      <c r="F13" s="131">
        <v>5</v>
      </c>
      <c r="G13" s="190">
        <f t="shared" si="2"/>
        <v>116.66666666666667</v>
      </c>
      <c r="H13" s="187">
        <f t="shared" si="10"/>
        <v>116.66666666666667</v>
      </c>
      <c r="I13" s="179">
        <f t="shared" si="10"/>
        <v>116.66666666666667</v>
      </c>
      <c r="J13" s="179">
        <f t="shared" si="10"/>
        <v>116.66666666666667</v>
      </c>
      <c r="K13" s="179">
        <f t="shared" si="10"/>
        <v>116.66666666666667</v>
      </c>
      <c r="L13" s="179">
        <f t="shared" si="10"/>
        <v>116.66666666666667</v>
      </c>
      <c r="M13" s="179">
        <f t="shared" si="10"/>
        <v>116.66666666666667</v>
      </c>
      <c r="N13" s="179">
        <f t="shared" si="10"/>
        <v>116.66666666666667</v>
      </c>
      <c r="O13" s="179">
        <f t="shared" si="10"/>
        <v>116.66666666666667</v>
      </c>
      <c r="P13" s="179">
        <f t="shared" si="10"/>
        <v>116.66666666666667</v>
      </c>
      <c r="Q13" s="179">
        <f t="shared" si="10"/>
        <v>116.66666666666667</v>
      </c>
      <c r="R13" s="179">
        <f t="shared" si="10"/>
        <v>116.66666666666667</v>
      </c>
      <c r="S13" s="179">
        <f t="shared" si="10"/>
        <v>116.66666666666667</v>
      </c>
      <c r="T13" s="179">
        <f t="shared" si="4"/>
        <v>1400.0000000000002</v>
      </c>
      <c r="U13" s="180">
        <f t="shared" si="5"/>
        <v>1400.0000000000002</v>
      </c>
      <c r="V13" s="179">
        <f t="shared" si="5"/>
        <v>1400.0000000000002</v>
      </c>
      <c r="W13" s="180">
        <f t="shared" si="5"/>
        <v>1400.0000000000002</v>
      </c>
    </row>
    <row r="14" spans="2:23">
      <c r="B14" s="185" t="str">
        <f>+'COMPRAS MES 1'!B15</f>
        <v>ALIACTES</v>
      </c>
      <c r="C14" s="162">
        <f>+'COMPRAS MES 1'!C15</f>
        <v>1</v>
      </c>
      <c r="D14" s="166">
        <f>+'COMPRAS MES 1'!D15</f>
        <v>10000</v>
      </c>
      <c r="E14" s="168">
        <f>+'COMPRAS MES 1'!E15</f>
        <v>10000</v>
      </c>
      <c r="F14" s="131">
        <v>5</v>
      </c>
      <c r="G14" s="190">
        <f t="shared" si="2"/>
        <v>166.66666666666666</v>
      </c>
      <c r="H14" s="187">
        <f t="shared" si="10"/>
        <v>166.66666666666666</v>
      </c>
      <c r="I14" s="179">
        <f t="shared" si="10"/>
        <v>166.66666666666666</v>
      </c>
      <c r="J14" s="179">
        <f t="shared" si="10"/>
        <v>166.66666666666666</v>
      </c>
      <c r="K14" s="179">
        <f t="shared" si="10"/>
        <v>166.66666666666666</v>
      </c>
      <c r="L14" s="179">
        <f t="shared" si="10"/>
        <v>166.66666666666666</v>
      </c>
      <c r="M14" s="179">
        <f t="shared" si="10"/>
        <v>166.66666666666666</v>
      </c>
      <c r="N14" s="179">
        <f t="shared" si="10"/>
        <v>166.66666666666666</v>
      </c>
      <c r="O14" s="179">
        <f t="shared" si="10"/>
        <v>166.66666666666666</v>
      </c>
      <c r="P14" s="179">
        <f t="shared" si="10"/>
        <v>166.66666666666666</v>
      </c>
      <c r="Q14" s="179">
        <f t="shared" si="10"/>
        <v>166.66666666666666</v>
      </c>
      <c r="R14" s="179">
        <f t="shared" si="10"/>
        <v>166.66666666666666</v>
      </c>
      <c r="S14" s="179">
        <f t="shared" si="10"/>
        <v>166.66666666666666</v>
      </c>
      <c r="T14" s="179">
        <f t="shared" si="4"/>
        <v>2000.0000000000002</v>
      </c>
      <c r="U14" s="180">
        <f t="shared" si="5"/>
        <v>2000.0000000000002</v>
      </c>
      <c r="V14" s="179">
        <f t="shared" si="5"/>
        <v>2000.0000000000002</v>
      </c>
      <c r="W14" s="180">
        <f t="shared" si="5"/>
        <v>2000.0000000000002</v>
      </c>
    </row>
    <row r="15" spans="2:23">
      <c r="B15" s="185" t="str">
        <f>+'COMPRAS MES 1'!B16</f>
        <v>PONCHADORA RJ</v>
      </c>
      <c r="C15" s="162">
        <f>+'COMPRAS MES 1'!C16</f>
        <v>1</v>
      </c>
      <c r="D15" s="166">
        <f>+'COMPRAS MES 1'!D16</f>
        <v>25000</v>
      </c>
      <c r="E15" s="168">
        <f>+'COMPRAS MES 1'!E16</f>
        <v>25000</v>
      </c>
      <c r="F15" s="131">
        <v>5</v>
      </c>
      <c r="G15" s="190">
        <f t="shared" si="2"/>
        <v>416.66666666666669</v>
      </c>
      <c r="H15" s="187">
        <f t="shared" ref="H15:S15" si="11">+G15</f>
        <v>416.66666666666669</v>
      </c>
      <c r="I15" s="179">
        <f t="shared" si="11"/>
        <v>416.66666666666669</v>
      </c>
      <c r="J15" s="179">
        <f t="shared" si="11"/>
        <v>416.66666666666669</v>
      </c>
      <c r="K15" s="179">
        <f t="shared" si="11"/>
        <v>416.66666666666669</v>
      </c>
      <c r="L15" s="179">
        <f t="shared" si="11"/>
        <v>416.66666666666669</v>
      </c>
      <c r="M15" s="179">
        <f t="shared" si="11"/>
        <v>416.66666666666669</v>
      </c>
      <c r="N15" s="179">
        <f t="shared" si="11"/>
        <v>416.66666666666669</v>
      </c>
      <c r="O15" s="179">
        <f t="shared" si="11"/>
        <v>416.66666666666669</v>
      </c>
      <c r="P15" s="179">
        <f t="shared" si="11"/>
        <v>416.66666666666669</v>
      </c>
      <c r="Q15" s="179">
        <f t="shared" si="11"/>
        <v>416.66666666666669</v>
      </c>
      <c r="R15" s="179">
        <f t="shared" si="11"/>
        <v>416.66666666666669</v>
      </c>
      <c r="S15" s="179">
        <f t="shared" si="11"/>
        <v>416.66666666666669</v>
      </c>
      <c r="T15" s="179">
        <f t="shared" si="4"/>
        <v>5000</v>
      </c>
      <c r="U15" s="180">
        <f t="shared" si="5"/>
        <v>5000</v>
      </c>
      <c r="V15" s="179">
        <f t="shared" si="5"/>
        <v>5000</v>
      </c>
      <c r="W15" s="180">
        <f t="shared" si="5"/>
        <v>5000</v>
      </c>
    </row>
    <row r="16" spans="2:23">
      <c r="B16" s="185" t="str">
        <f>+'COMPRAS MES 1'!B17</f>
        <v>PINZA CIMPREADORA</v>
      </c>
      <c r="C16" s="162">
        <f>+'COMPRAS MES 1'!C17</f>
        <v>1</v>
      </c>
      <c r="D16" s="166">
        <f>+'COMPRAS MES 1'!D17</f>
        <v>31000</v>
      </c>
      <c r="E16" s="168">
        <f>+'COMPRAS MES 1'!E17</f>
        <v>31000</v>
      </c>
      <c r="F16" s="131">
        <v>5</v>
      </c>
      <c r="G16" s="190">
        <f t="shared" si="2"/>
        <v>516.66666666666663</v>
      </c>
      <c r="H16" s="187">
        <f t="shared" ref="H16:S16" si="12">+G16</f>
        <v>516.66666666666663</v>
      </c>
      <c r="I16" s="179">
        <f t="shared" si="12"/>
        <v>516.66666666666663</v>
      </c>
      <c r="J16" s="179">
        <f t="shared" si="12"/>
        <v>516.66666666666663</v>
      </c>
      <c r="K16" s="179">
        <f t="shared" si="12"/>
        <v>516.66666666666663</v>
      </c>
      <c r="L16" s="179">
        <f t="shared" si="12"/>
        <v>516.66666666666663</v>
      </c>
      <c r="M16" s="179">
        <f t="shared" si="12"/>
        <v>516.66666666666663</v>
      </c>
      <c r="N16" s="179">
        <f t="shared" si="12"/>
        <v>516.66666666666663</v>
      </c>
      <c r="O16" s="179">
        <f t="shared" si="12"/>
        <v>516.66666666666663</v>
      </c>
      <c r="P16" s="179">
        <f t="shared" si="12"/>
        <v>516.66666666666663</v>
      </c>
      <c r="Q16" s="179">
        <f t="shared" si="12"/>
        <v>516.66666666666663</v>
      </c>
      <c r="R16" s="179">
        <f t="shared" si="12"/>
        <v>516.66666666666663</v>
      </c>
      <c r="S16" s="179">
        <f t="shared" si="12"/>
        <v>516.66666666666663</v>
      </c>
      <c r="T16" s="179">
        <f t="shared" si="4"/>
        <v>6200.0000000000009</v>
      </c>
      <c r="U16" s="180">
        <f t="shared" si="5"/>
        <v>6200.0000000000009</v>
      </c>
      <c r="V16" s="179">
        <f t="shared" si="5"/>
        <v>6200.0000000000009</v>
      </c>
      <c r="W16" s="180">
        <f t="shared" si="5"/>
        <v>6200.0000000000009</v>
      </c>
    </row>
    <row r="17" spans="2:23">
      <c r="B17" s="185" t="str">
        <f>+'COMPRAS MES 1'!B18</f>
        <v xml:space="preserve">LIMA </v>
      </c>
      <c r="C17" s="162">
        <f>+'COMPRAS MES 1'!C18</f>
        <v>1</v>
      </c>
      <c r="D17" s="166">
        <f>+'COMPRAS MES 1'!D18</f>
        <v>5000</v>
      </c>
      <c r="E17" s="168">
        <f>+'COMPRAS MES 1'!E18</f>
        <v>5000</v>
      </c>
      <c r="F17" s="131">
        <v>5</v>
      </c>
      <c r="G17" s="190">
        <f>+(E17/F17)/12</f>
        <v>83.333333333333329</v>
      </c>
      <c r="H17" s="187">
        <f t="shared" ref="H17:S17" si="13">+G17</f>
        <v>83.333333333333329</v>
      </c>
      <c r="I17" s="179">
        <f t="shared" si="13"/>
        <v>83.333333333333329</v>
      </c>
      <c r="J17" s="179">
        <f t="shared" si="13"/>
        <v>83.333333333333329</v>
      </c>
      <c r="K17" s="179">
        <f t="shared" si="13"/>
        <v>83.333333333333329</v>
      </c>
      <c r="L17" s="179">
        <f t="shared" si="13"/>
        <v>83.333333333333329</v>
      </c>
      <c r="M17" s="179">
        <f t="shared" si="13"/>
        <v>83.333333333333329</v>
      </c>
      <c r="N17" s="179">
        <f t="shared" si="13"/>
        <v>83.333333333333329</v>
      </c>
      <c r="O17" s="179">
        <f t="shared" si="13"/>
        <v>83.333333333333329</v>
      </c>
      <c r="P17" s="179">
        <f t="shared" si="13"/>
        <v>83.333333333333329</v>
      </c>
      <c r="Q17" s="179">
        <f t="shared" si="13"/>
        <v>83.333333333333329</v>
      </c>
      <c r="R17" s="179">
        <f t="shared" si="13"/>
        <v>83.333333333333329</v>
      </c>
      <c r="S17" s="179">
        <f t="shared" si="13"/>
        <v>83.333333333333329</v>
      </c>
      <c r="T17" s="179">
        <f t="shared" si="4"/>
        <v>1000.0000000000001</v>
      </c>
      <c r="U17" s="180">
        <f t="shared" si="5"/>
        <v>1000.0000000000001</v>
      </c>
      <c r="V17" s="179">
        <f t="shared" si="5"/>
        <v>1000.0000000000001</v>
      </c>
      <c r="W17" s="180">
        <f t="shared" si="5"/>
        <v>1000.0000000000001</v>
      </c>
    </row>
    <row r="18" spans="2:23">
      <c r="B18" s="185" t="str">
        <f>+'COMPRAS MES 1'!B19</f>
        <v>SEGUETA</v>
      </c>
      <c r="C18" s="162">
        <f>+'COMPRAS MES 1'!C19</f>
        <v>1</v>
      </c>
      <c r="D18" s="166">
        <f>+'COMPRAS MES 1'!D19</f>
        <v>12000</v>
      </c>
      <c r="E18" s="168">
        <f>+'COMPRAS MES 1'!E19</f>
        <v>12000</v>
      </c>
      <c r="F18" s="131">
        <v>5</v>
      </c>
      <c r="G18" s="190">
        <f>+(E18/F18)/12</f>
        <v>200</v>
      </c>
      <c r="H18" s="187">
        <f t="shared" ref="H18:S23" si="14">+G18</f>
        <v>200</v>
      </c>
      <c r="I18" s="179">
        <f t="shared" si="14"/>
        <v>200</v>
      </c>
      <c r="J18" s="179">
        <f t="shared" si="14"/>
        <v>200</v>
      </c>
      <c r="K18" s="179">
        <f t="shared" si="14"/>
        <v>200</v>
      </c>
      <c r="L18" s="179">
        <f t="shared" si="14"/>
        <v>200</v>
      </c>
      <c r="M18" s="179">
        <f t="shared" si="14"/>
        <v>200</v>
      </c>
      <c r="N18" s="179">
        <f t="shared" si="14"/>
        <v>200</v>
      </c>
      <c r="O18" s="179">
        <f t="shared" si="14"/>
        <v>200</v>
      </c>
      <c r="P18" s="179">
        <f t="shared" si="14"/>
        <v>200</v>
      </c>
      <c r="Q18" s="179">
        <f t="shared" si="14"/>
        <v>200</v>
      </c>
      <c r="R18" s="179">
        <f t="shared" si="14"/>
        <v>200</v>
      </c>
      <c r="S18" s="179">
        <f t="shared" si="14"/>
        <v>200</v>
      </c>
      <c r="T18" s="179">
        <f t="shared" si="4"/>
        <v>2400</v>
      </c>
      <c r="U18" s="180">
        <f t="shared" si="5"/>
        <v>2400</v>
      </c>
      <c r="V18" s="179">
        <f t="shared" si="5"/>
        <v>2400</v>
      </c>
      <c r="W18" s="180">
        <f t="shared" si="5"/>
        <v>2400</v>
      </c>
    </row>
    <row r="19" spans="2:23">
      <c r="B19" s="185" t="str">
        <f>+'COMPRAS MES 1'!B27</f>
        <v>TELEFONO MOVIL</v>
      </c>
      <c r="C19" s="162">
        <f>+'COMPRAS MES 1'!C27</f>
        <v>1</v>
      </c>
      <c r="D19" s="166">
        <f>+'COMPRAS MES 1'!D27</f>
        <v>250000</v>
      </c>
      <c r="E19" s="168">
        <f>+'COMPRAS MES 1'!E27</f>
        <v>250000</v>
      </c>
      <c r="F19" s="131">
        <v>5</v>
      </c>
      <c r="G19" s="190">
        <f t="shared" ref="G19:G23" si="15">+(E19/F19)/12</f>
        <v>4166.666666666667</v>
      </c>
      <c r="H19" s="187">
        <f t="shared" si="14"/>
        <v>4166.666666666667</v>
      </c>
      <c r="I19" s="179">
        <f t="shared" si="14"/>
        <v>4166.666666666667</v>
      </c>
      <c r="J19" s="179">
        <f t="shared" si="14"/>
        <v>4166.666666666667</v>
      </c>
      <c r="K19" s="179">
        <f t="shared" si="14"/>
        <v>4166.666666666667</v>
      </c>
      <c r="L19" s="179">
        <f t="shared" si="14"/>
        <v>4166.666666666667</v>
      </c>
      <c r="M19" s="179">
        <f t="shared" si="14"/>
        <v>4166.666666666667</v>
      </c>
      <c r="N19" s="179">
        <f t="shared" si="14"/>
        <v>4166.666666666667</v>
      </c>
      <c r="O19" s="179">
        <f t="shared" si="14"/>
        <v>4166.666666666667</v>
      </c>
      <c r="P19" s="179">
        <f t="shared" si="14"/>
        <v>4166.666666666667</v>
      </c>
      <c r="Q19" s="179">
        <f t="shared" si="14"/>
        <v>4166.666666666667</v>
      </c>
      <c r="R19" s="179">
        <f t="shared" si="14"/>
        <v>4166.666666666667</v>
      </c>
      <c r="S19" s="179">
        <f t="shared" si="14"/>
        <v>4166.666666666667</v>
      </c>
      <c r="T19" s="179">
        <f t="shared" si="4"/>
        <v>49999.999999999993</v>
      </c>
      <c r="U19" s="180">
        <f t="shared" si="5"/>
        <v>49999.999999999993</v>
      </c>
      <c r="V19" s="179">
        <f t="shared" si="5"/>
        <v>49999.999999999993</v>
      </c>
      <c r="W19" s="180">
        <f t="shared" si="5"/>
        <v>49999.999999999993</v>
      </c>
    </row>
    <row r="20" spans="2:23">
      <c r="B20" s="185" t="str">
        <f>+'COMPRAS MES 1'!B28</f>
        <v>COMPUTADOR</v>
      </c>
      <c r="C20" s="162">
        <f>+'COMPRAS MES 1'!C28</f>
        <v>1</v>
      </c>
      <c r="D20" s="166">
        <f>+'COMPRAS MES 1'!D28</f>
        <v>1000000</v>
      </c>
      <c r="E20" s="168">
        <f>+'COMPRAS MES 1'!E28</f>
        <v>1000000</v>
      </c>
      <c r="F20" s="131">
        <v>5</v>
      </c>
      <c r="G20" s="190">
        <f t="shared" si="15"/>
        <v>16666.666666666668</v>
      </c>
      <c r="H20" s="187">
        <f t="shared" si="14"/>
        <v>16666.666666666668</v>
      </c>
      <c r="I20" s="179">
        <f t="shared" si="14"/>
        <v>16666.666666666668</v>
      </c>
      <c r="J20" s="179">
        <f t="shared" si="14"/>
        <v>16666.666666666668</v>
      </c>
      <c r="K20" s="179">
        <f t="shared" si="14"/>
        <v>16666.666666666668</v>
      </c>
      <c r="L20" s="179">
        <f t="shared" si="14"/>
        <v>16666.666666666668</v>
      </c>
      <c r="M20" s="179">
        <f t="shared" si="14"/>
        <v>16666.666666666668</v>
      </c>
      <c r="N20" s="179">
        <f t="shared" si="14"/>
        <v>16666.666666666668</v>
      </c>
      <c r="O20" s="179">
        <f t="shared" si="14"/>
        <v>16666.666666666668</v>
      </c>
      <c r="P20" s="179">
        <f t="shared" si="14"/>
        <v>16666.666666666668</v>
      </c>
      <c r="Q20" s="179">
        <f t="shared" si="14"/>
        <v>16666.666666666668</v>
      </c>
      <c r="R20" s="179">
        <f t="shared" si="14"/>
        <v>16666.666666666668</v>
      </c>
      <c r="S20" s="179">
        <f t="shared" si="14"/>
        <v>16666.666666666668</v>
      </c>
      <c r="T20" s="179">
        <f t="shared" si="4"/>
        <v>199999.99999999997</v>
      </c>
      <c r="U20" s="180">
        <f t="shared" si="5"/>
        <v>199999.99999999997</v>
      </c>
      <c r="V20" s="179">
        <f t="shared" si="5"/>
        <v>199999.99999999997</v>
      </c>
      <c r="W20" s="180">
        <f t="shared" si="5"/>
        <v>199999.99999999997</v>
      </c>
    </row>
    <row r="21" spans="2:23">
      <c r="B21" s="185" t="str">
        <f>+'COMPRAS MES 1'!B29</f>
        <v>IMPRESORA</v>
      </c>
      <c r="C21" s="162">
        <f>+'COMPRAS MES 1'!C29</f>
        <v>1</v>
      </c>
      <c r="D21" s="166">
        <f>+'COMPRAS MES 1'!D29</f>
        <v>170000</v>
      </c>
      <c r="E21" s="168">
        <f>+'COMPRAS MES 1'!E29</f>
        <v>170000</v>
      </c>
      <c r="F21" s="131">
        <v>5</v>
      </c>
      <c r="G21" s="190">
        <f t="shared" si="15"/>
        <v>2833.3333333333335</v>
      </c>
      <c r="H21" s="187">
        <f t="shared" si="14"/>
        <v>2833.3333333333335</v>
      </c>
      <c r="I21" s="179">
        <f t="shared" si="14"/>
        <v>2833.3333333333335</v>
      </c>
      <c r="J21" s="179">
        <f t="shared" si="14"/>
        <v>2833.3333333333335</v>
      </c>
      <c r="K21" s="179">
        <f t="shared" si="14"/>
        <v>2833.3333333333335</v>
      </c>
      <c r="L21" s="179">
        <f t="shared" si="14"/>
        <v>2833.3333333333335</v>
      </c>
      <c r="M21" s="179">
        <f t="shared" si="14"/>
        <v>2833.3333333333335</v>
      </c>
      <c r="N21" s="179">
        <f t="shared" si="14"/>
        <v>2833.3333333333335</v>
      </c>
      <c r="O21" s="179">
        <f t="shared" si="14"/>
        <v>2833.3333333333335</v>
      </c>
      <c r="P21" s="179">
        <f t="shared" si="14"/>
        <v>2833.3333333333335</v>
      </c>
      <c r="Q21" s="179">
        <f t="shared" si="14"/>
        <v>2833.3333333333335</v>
      </c>
      <c r="R21" s="179">
        <f t="shared" si="14"/>
        <v>2833.3333333333335</v>
      </c>
      <c r="S21" s="179">
        <f t="shared" si="14"/>
        <v>2833.3333333333335</v>
      </c>
      <c r="T21" s="179">
        <f t="shared" si="4"/>
        <v>33999.999999999993</v>
      </c>
      <c r="U21" s="180">
        <f t="shared" si="5"/>
        <v>33999.999999999993</v>
      </c>
      <c r="V21" s="179">
        <f t="shared" si="5"/>
        <v>33999.999999999993</v>
      </c>
      <c r="W21" s="180">
        <f t="shared" si="5"/>
        <v>33999.999999999993</v>
      </c>
    </row>
    <row r="22" spans="2:23">
      <c r="B22" s="185" t="str">
        <f>+'COMPRAS MES 1'!B32</f>
        <v xml:space="preserve">ESCRITORIO </v>
      </c>
      <c r="C22" s="162">
        <f>+'COMPRAS MES 1'!C32</f>
        <v>1</v>
      </c>
      <c r="D22" s="166">
        <f>+'COMPRAS MES 1'!D32</f>
        <v>250000</v>
      </c>
      <c r="E22" s="168">
        <f>+'COMPRAS MES 1'!E32</f>
        <v>250000</v>
      </c>
      <c r="F22" s="131">
        <v>10</v>
      </c>
      <c r="G22" s="190">
        <f t="shared" si="15"/>
        <v>2083.3333333333335</v>
      </c>
      <c r="H22" s="187">
        <f t="shared" si="14"/>
        <v>2083.3333333333335</v>
      </c>
      <c r="I22" s="179">
        <f t="shared" si="14"/>
        <v>2083.3333333333335</v>
      </c>
      <c r="J22" s="179">
        <f t="shared" si="14"/>
        <v>2083.3333333333335</v>
      </c>
      <c r="K22" s="179">
        <f t="shared" si="14"/>
        <v>2083.3333333333335</v>
      </c>
      <c r="L22" s="179">
        <f t="shared" si="14"/>
        <v>2083.3333333333335</v>
      </c>
      <c r="M22" s="179">
        <f t="shared" si="14"/>
        <v>2083.3333333333335</v>
      </c>
      <c r="N22" s="179">
        <f t="shared" si="14"/>
        <v>2083.3333333333335</v>
      </c>
      <c r="O22" s="179">
        <f t="shared" si="14"/>
        <v>2083.3333333333335</v>
      </c>
      <c r="P22" s="179">
        <f t="shared" si="14"/>
        <v>2083.3333333333335</v>
      </c>
      <c r="Q22" s="179">
        <f t="shared" si="14"/>
        <v>2083.3333333333335</v>
      </c>
      <c r="R22" s="179">
        <f t="shared" si="14"/>
        <v>2083.3333333333335</v>
      </c>
      <c r="S22" s="179">
        <f t="shared" si="14"/>
        <v>2083.3333333333335</v>
      </c>
      <c r="T22" s="179">
        <f t="shared" si="4"/>
        <v>24999.999999999996</v>
      </c>
      <c r="U22" s="180">
        <f t="shared" si="5"/>
        <v>24999.999999999996</v>
      </c>
      <c r="V22" s="179">
        <f t="shared" si="5"/>
        <v>24999.999999999996</v>
      </c>
      <c r="W22" s="180">
        <f t="shared" si="5"/>
        <v>24999.999999999996</v>
      </c>
    </row>
    <row r="23" spans="2:23" ht="15.75" thickBot="1">
      <c r="B23" s="185" t="str">
        <f>+'COMPRAS MES 1'!B33</f>
        <v>SILLAS</v>
      </c>
      <c r="C23" s="162">
        <f>+'COMPRAS MES 1'!C33</f>
        <v>2</v>
      </c>
      <c r="D23" s="166">
        <f>+'COMPRAS MES 1'!D33</f>
        <v>42000</v>
      </c>
      <c r="E23" s="168">
        <f>+'COMPRAS MES 1'!E33</f>
        <v>50000</v>
      </c>
      <c r="F23" s="131">
        <v>10</v>
      </c>
      <c r="G23" s="190">
        <f t="shared" si="15"/>
        <v>416.66666666666669</v>
      </c>
      <c r="H23" s="187">
        <f t="shared" si="14"/>
        <v>416.66666666666669</v>
      </c>
      <c r="I23" s="179">
        <f t="shared" si="14"/>
        <v>416.66666666666669</v>
      </c>
      <c r="J23" s="179">
        <f t="shared" si="14"/>
        <v>416.66666666666669</v>
      </c>
      <c r="K23" s="179">
        <f t="shared" si="14"/>
        <v>416.66666666666669</v>
      </c>
      <c r="L23" s="179">
        <f t="shared" si="14"/>
        <v>416.66666666666669</v>
      </c>
      <c r="M23" s="179">
        <f t="shared" si="14"/>
        <v>416.66666666666669</v>
      </c>
      <c r="N23" s="179">
        <f t="shared" si="14"/>
        <v>416.66666666666669</v>
      </c>
      <c r="O23" s="179">
        <f t="shared" si="14"/>
        <v>416.66666666666669</v>
      </c>
      <c r="P23" s="179">
        <f t="shared" si="14"/>
        <v>416.66666666666669</v>
      </c>
      <c r="Q23" s="179">
        <f t="shared" si="14"/>
        <v>416.66666666666669</v>
      </c>
      <c r="R23" s="179">
        <f t="shared" si="14"/>
        <v>416.66666666666669</v>
      </c>
      <c r="S23" s="179">
        <f t="shared" si="14"/>
        <v>416.66666666666669</v>
      </c>
      <c r="T23" s="179">
        <f t="shared" si="4"/>
        <v>5000</v>
      </c>
      <c r="U23" s="180">
        <f t="shared" si="5"/>
        <v>5000</v>
      </c>
      <c r="V23" s="179">
        <f t="shared" si="5"/>
        <v>5000</v>
      </c>
      <c r="W23" s="180">
        <f t="shared" si="5"/>
        <v>5000</v>
      </c>
    </row>
    <row r="24" spans="2:23" ht="16.5" thickBot="1">
      <c r="B24" s="327" t="s">
        <v>100</v>
      </c>
      <c r="C24" s="328"/>
      <c r="D24" s="328"/>
      <c r="E24" s="328"/>
      <c r="F24" s="329"/>
      <c r="G24" s="191">
        <f>SUM(G4:G18)</f>
        <v>10916.666666666664</v>
      </c>
      <c r="H24" s="188">
        <f t="shared" ref="H24:S25" si="16">+G24</f>
        <v>10916.666666666664</v>
      </c>
      <c r="I24" s="182">
        <f t="shared" si="16"/>
        <v>10916.666666666664</v>
      </c>
      <c r="J24" s="182">
        <f t="shared" si="16"/>
        <v>10916.666666666664</v>
      </c>
      <c r="K24" s="182">
        <f t="shared" si="16"/>
        <v>10916.666666666664</v>
      </c>
      <c r="L24" s="182">
        <f t="shared" si="16"/>
        <v>10916.666666666664</v>
      </c>
      <c r="M24" s="182">
        <f t="shared" si="16"/>
        <v>10916.666666666664</v>
      </c>
      <c r="N24" s="182">
        <f t="shared" si="16"/>
        <v>10916.666666666664</v>
      </c>
      <c r="O24" s="182">
        <f t="shared" si="16"/>
        <v>10916.666666666664</v>
      </c>
      <c r="P24" s="182">
        <f t="shared" si="16"/>
        <v>10916.666666666664</v>
      </c>
      <c r="Q24" s="182">
        <f t="shared" si="16"/>
        <v>10916.666666666664</v>
      </c>
      <c r="R24" s="182">
        <f t="shared" si="16"/>
        <v>10916.666666666664</v>
      </c>
      <c r="S24" s="182">
        <f t="shared" si="16"/>
        <v>10916.666666666664</v>
      </c>
      <c r="T24" s="183">
        <f t="shared" si="4"/>
        <v>130999.99999999994</v>
      </c>
      <c r="U24" s="183">
        <f t="shared" si="5"/>
        <v>130999.99999999994</v>
      </c>
      <c r="V24" s="183">
        <f t="shared" si="5"/>
        <v>130999.99999999994</v>
      </c>
      <c r="W24" s="183">
        <f t="shared" si="5"/>
        <v>130999.99999999994</v>
      </c>
    </row>
    <row r="25" spans="2:23">
      <c r="B25" s="184"/>
      <c r="C25" s="184"/>
      <c r="D25" s="184"/>
      <c r="E25" s="184"/>
      <c r="F25" s="184"/>
      <c r="G25" s="186"/>
      <c r="H25" s="181">
        <f>+H24/2</f>
        <v>5458.3333333333321</v>
      </c>
      <c r="I25" s="181">
        <f t="shared" si="16"/>
        <v>5458.3333333333321</v>
      </c>
      <c r="J25" s="181">
        <f t="shared" si="16"/>
        <v>5458.3333333333321</v>
      </c>
      <c r="K25" s="181">
        <f t="shared" si="16"/>
        <v>5458.3333333333321</v>
      </c>
      <c r="L25" s="181">
        <f t="shared" si="16"/>
        <v>5458.3333333333321</v>
      </c>
      <c r="M25" s="181">
        <f t="shared" si="16"/>
        <v>5458.3333333333321</v>
      </c>
      <c r="N25" s="181">
        <f t="shared" si="16"/>
        <v>5458.3333333333321</v>
      </c>
      <c r="O25" s="181">
        <f t="shared" si="16"/>
        <v>5458.3333333333321</v>
      </c>
      <c r="P25" s="181">
        <f t="shared" si="16"/>
        <v>5458.3333333333321</v>
      </c>
      <c r="Q25" s="181">
        <f t="shared" si="16"/>
        <v>5458.3333333333321</v>
      </c>
      <c r="R25" s="181">
        <f t="shared" si="16"/>
        <v>5458.3333333333321</v>
      </c>
      <c r="S25" s="181">
        <f t="shared" si="16"/>
        <v>5458.3333333333321</v>
      </c>
      <c r="T25" s="181">
        <f t="shared" si="4"/>
        <v>65499.999999999971</v>
      </c>
      <c r="U25" s="181">
        <f t="shared" si="5"/>
        <v>65499.999999999971</v>
      </c>
      <c r="V25" s="181">
        <f t="shared" si="5"/>
        <v>65499.999999999971</v>
      </c>
      <c r="W25" s="181">
        <f t="shared" si="5"/>
        <v>65499.999999999971</v>
      </c>
    </row>
  </sheetData>
  <mergeCells count="11">
    <mergeCell ref="U2:U3"/>
    <mergeCell ref="V2:V3"/>
    <mergeCell ref="W2:W3"/>
    <mergeCell ref="H2:S2"/>
    <mergeCell ref="T2:T3"/>
    <mergeCell ref="B24:F24"/>
    <mergeCell ref="F2:G2"/>
    <mergeCell ref="B2:B3"/>
    <mergeCell ref="C2:C3"/>
    <mergeCell ref="D2:D3"/>
    <mergeCell ref="E2:E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D16"/>
  <sheetViews>
    <sheetView workbookViewId="0">
      <selection activeCell="C5" sqref="C5"/>
    </sheetView>
  </sheetViews>
  <sheetFormatPr baseColWidth="10" defaultRowHeight="15"/>
  <cols>
    <col min="1" max="1" width="11.28515625" style="6" customWidth="1"/>
    <col min="2" max="2" width="30.42578125" style="6" customWidth="1"/>
    <col min="3" max="3" width="17.5703125" style="6" customWidth="1"/>
    <col min="4" max="1021" width="11.28515625" style="6" customWidth="1"/>
    <col min="1022" max="1022" width="11.42578125" style="6" customWidth="1"/>
    <col min="1023" max="16384" width="11.42578125" style="6"/>
  </cols>
  <sheetData>
    <row r="2" spans="2:4" ht="15.75" thickBot="1"/>
    <row r="3" spans="2:4">
      <c r="B3" s="340" t="s">
        <v>36</v>
      </c>
      <c r="C3" s="341"/>
    </row>
    <row r="4" spans="2:4" ht="32.25" customHeight="1">
      <c r="B4" s="83" t="s">
        <v>10</v>
      </c>
      <c r="C4" s="74" t="s">
        <v>33</v>
      </c>
    </row>
    <row r="5" spans="2:4">
      <c r="B5" s="75" t="s">
        <v>17</v>
      </c>
      <c r="C5" s="194">
        <v>100000</v>
      </c>
    </row>
    <row r="6" spans="2:4">
      <c r="B6" s="84" t="s">
        <v>18</v>
      </c>
      <c r="C6" s="195">
        <v>100000</v>
      </c>
    </row>
    <row r="7" spans="2:4">
      <c r="B7" s="118" t="s">
        <v>26</v>
      </c>
      <c r="C7" s="196">
        <f>+'CAUSACION MES 1'!C73</f>
        <v>5458.3333333333321</v>
      </c>
    </row>
    <row r="8" spans="2:4" ht="15.75" thickBot="1">
      <c r="B8" s="78" t="s">
        <v>5</v>
      </c>
      <c r="C8" s="197">
        <f>SUM(C5:C7)</f>
        <v>205458.33333333334</v>
      </c>
    </row>
    <row r="10" spans="2:4" s="10" customFormat="1" ht="15.75" thickBot="1"/>
    <row r="11" spans="2:4">
      <c r="B11" s="340" t="s">
        <v>67</v>
      </c>
      <c r="C11" s="341"/>
    </row>
    <row r="12" spans="2:4">
      <c r="B12" s="73" t="s">
        <v>10</v>
      </c>
      <c r="C12" s="74" t="s">
        <v>33</v>
      </c>
    </row>
    <row r="13" spans="2:4">
      <c r="B13" s="198" t="s">
        <v>19</v>
      </c>
      <c r="C13" s="199">
        <v>50000</v>
      </c>
    </row>
    <row r="14" spans="2:4">
      <c r="B14" s="201" t="s">
        <v>17</v>
      </c>
      <c r="C14" s="202">
        <v>40000</v>
      </c>
    </row>
    <row r="15" spans="2:4">
      <c r="B15" s="201" t="s">
        <v>26</v>
      </c>
      <c r="C15" s="203">
        <f>+'CAUSACION MES 1'!C72</f>
        <v>5458.3333333333321</v>
      </c>
    </row>
    <row r="16" spans="2:4" ht="15.75" thickBot="1">
      <c r="B16" s="204" t="s">
        <v>5</v>
      </c>
      <c r="C16" s="205">
        <f>SUM(C13:C15)</f>
        <v>95458.333333333328</v>
      </c>
      <c r="D16" s="200">
        <f>+C16+C8</f>
        <v>300916.66666666669</v>
      </c>
    </row>
  </sheetData>
  <mergeCells count="2">
    <mergeCell ref="B3:C3"/>
    <mergeCell ref="B11:C1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A2" sqref="A2:B2"/>
    </sheetView>
  </sheetViews>
  <sheetFormatPr baseColWidth="10" defaultRowHeight="15"/>
  <cols>
    <col min="1" max="1" width="53" bestFit="1" customWidth="1"/>
    <col min="2" max="2" width="15.85546875" style="15" bestFit="1" customWidth="1"/>
    <col min="3" max="3" width="13" bestFit="1" customWidth="1"/>
  </cols>
  <sheetData>
    <row r="2" spans="1:3" ht="15.75">
      <c r="A2" s="342"/>
      <c r="B2" s="342"/>
    </row>
    <row r="3" spans="1:3">
      <c r="A3" s="343" t="s">
        <v>68</v>
      </c>
      <c r="B3" s="343"/>
    </row>
    <row r="4" spans="1:3">
      <c r="A4" s="343" t="s">
        <v>188</v>
      </c>
      <c r="B4" s="343"/>
    </row>
    <row r="6" spans="1:3">
      <c r="A6" s="12" t="s">
        <v>69</v>
      </c>
      <c r="B6" s="211">
        <v>8</v>
      </c>
    </row>
    <row r="8" spans="1:3" ht="15.75">
      <c r="A8" s="17" t="s">
        <v>81</v>
      </c>
    </row>
    <row r="9" spans="1:3" ht="15.75">
      <c r="A9" s="138" t="str">
        <f>'COMPRAS MES 1'!B40</f>
        <v>Cables electricos</v>
      </c>
      <c r="B9" s="15">
        <f>'COMPRAS MES 1'!E40</f>
        <v>640000</v>
      </c>
      <c r="C9" s="139"/>
    </row>
    <row r="10" spans="1:3">
      <c r="A10" s="103" t="str">
        <f>+'COMPRAS MES 1'!B45</f>
        <v>Clavijas</v>
      </c>
      <c r="B10" s="15">
        <f>+'CAUSACION MES 1'!D25</f>
        <v>28000</v>
      </c>
      <c r="C10" s="139"/>
    </row>
    <row r="11" spans="1:3">
      <c r="A11" s="103" t="str">
        <f>'COMPRAS MES 1'!B41</f>
        <v>Cajas de conexión</v>
      </c>
      <c r="B11" s="15">
        <f>+'CAUSACION MES 1'!D26</f>
        <v>36000</v>
      </c>
      <c r="C11" s="139"/>
    </row>
    <row r="12" spans="1:3">
      <c r="A12" s="103" t="str">
        <f>'COMPRAS MES 1'!B42</f>
        <v>Porta lamparas</v>
      </c>
      <c r="B12" s="15">
        <f>+'CAUSACION MES 1'!D27</f>
        <v>104000</v>
      </c>
      <c r="C12" s="139"/>
    </row>
    <row r="13" spans="1:3">
      <c r="A13" s="103" t="str">
        <f>'COMPRAS MES 1'!B44</f>
        <v>Interruptores</v>
      </c>
      <c r="B13" s="15">
        <f>+'CAUSACION MES 1'!D28</f>
        <v>52000</v>
      </c>
      <c r="C13" s="139"/>
    </row>
    <row r="14" spans="1:3" ht="15.75" thickBot="1">
      <c r="A14" s="103" t="str">
        <f>'COMPRAS MES 1'!B43</f>
        <v>Pulsadores</v>
      </c>
      <c r="B14" s="105">
        <f>+'CAUSACION MES 1'!D29</f>
        <v>160000</v>
      </c>
      <c r="C14" s="139"/>
    </row>
    <row r="15" spans="1:3" ht="15.75" thickTop="1">
      <c r="A15" s="104" t="s">
        <v>82</v>
      </c>
      <c r="B15" s="19">
        <f>SUM(B9:B14)</f>
        <v>1020000</v>
      </c>
    </row>
    <row r="16" spans="1:3">
      <c r="A16" s="103"/>
    </row>
    <row r="18" spans="1:2">
      <c r="A18" s="18" t="s">
        <v>37</v>
      </c>
    </row>
    <row r="19" spans="1:2">
      <c r="A19" t="str">
        <f>+LOWER('CLASIFICACIÓN DE COSTOS'!A15)</f>
        <v>operario 1</v>
      </c>
      <c r="B19" s="15">
        <f>+'CLASIFICACIÓN DE COSTOS'!C15</f>
        <v>250000</v>
      </c>
    </row>
    <row r="20" spans="1:2" ht="15.75" thickBot="1">
      <c r="A20" t="str">
        <f>+LOWER('CLASIFICACIÓN DE COSTOS'!A16)</f>
        <v>operario 2</v>
      </c>
      <c r="B20" s="105">
        <f>+'CLASIFICACIÓN DE COSTOS'!C16</f>
        <v>150000</v>
      </c>
    </row>
    <row r="21" spans="1:2" ht="15.75" thickTop="1">
      <c r="A21" s="18" t="s">
        <v>83</v>
      </c>
      <c r="B21" s="19">
        <f>SUM(B19:B20)</f>
        <v>400000</v>
      </c>
    </row>
    <row r="23" spans="1:2">
      <c r="A23" s="18" t="s">
        <v>84</v>
      </c>
    </row>
    <row r="24" spans="1:2">
      <c r="A24" t="str">
        <f>+LOWER('CLASIFICACIÓN DE COSTOS'!A22)</f>
        <v>agua</v>
      </c>
      <c r="B24" s="15">
        <f>+'CLASIFICACIÓN DE COSTOS'!B22*$B$6</f>
        <v>304</v>
      </c>
    </row>
    <row r="25" spans="1:2">
      <c r="A25" t="str">
        <f>+LOWER('CLASIFICACIÓN DE COSTOS'!A23)</f>
        <v>luz</v>
      </c>
      <c r="B25" s="15">
        <f>+'CLASIFICACIÓN DE COSTOS'!B23*$B$6</f>
        <v>304</v>
      </c>
    </row>
    <row r="26" spans="1:2" ht="15.75" thickBot="1">
      <c r="A26" t="str">
        <f>+LOWER('CLASIFICACIÓN DE COSTOS'!A24)</f>
        <v>gas</v>
      </c>
      <c r="B26" s="105">
        <f>+'CLASIFICACIÓN DE COSTOS'!B24*$B$6</f>
        <v>40</v>
      </c>
    </row>
    <row r="27" spans="1:2" ht="15.75" thickTop="1">
      <c r="A27" s="18" t="s">
        <v>85</v>
      </c>
      <c r="B27" s="19">
        <f>SUM(B24:B26)</f>
        <v>648</v>
      </c>
    </row>
    <row r="29" spans="1:2" ht="18.75">
      <c r="A29" s="212" t="s">
        <v>156</v>
      </c>
      <c r="B29" s="213">
        <f>+B27+B21+B15</f>
        <v>1420648</v>
      </c>
    </row>
    <row r="30" spans="1:2" ht="15.75">
      <c r="A30" s="212" t="s">
        <v>3</v>
      </c>
      <c r="B30" s="214">
        <f>+B29/B6</f>
        <v>177581</v>
      </c>
    </row>
  </sheetData>
  <mergeCells count="3">
    <mergeCell ref="A2:B2"/>
    <mergeCell ref="A3:B3"/>
    <mergeCell ref="A4:B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9" sqref="C9"/>
    </sheetView>
  </sheetViews>
  <sheetFormatPr baseColWidth="10" defaultRowHeight="15"/>
  <cols>
    <col min="1" max="1" width="23.42578125" style="11" bestFit="1" customWidth="1"/>
    <col min="2" max="2" width="5.140625" style="11" customWidth="1"/>
    <col min="3" max="3" width="38.7109375" style="11" customWidth="1"/>
    <col min="4" max="4" width="23" style="11" customWidth="1"/>
    <col min="5" max="5" width="17.7109375" style="11" customWidth="1"/>
    <col min="6" max="6" width="17.85546875" style="11" customWidth="1"/>
    <col min="7" max="7" width="11.28515625" style="11" customWidth="1"/>
    <col min="8" max="8" width="34.140625" style="11" customWidth="1"/>
    <col min="9" max="9" width="11.28515625" style="11" customWidth="1"/>
    <col min="10" max="10" width="20.85546875" style="11" customWidth="1"/>
    <col min="11" max="11" width="19.7109375" style="11" customWidth="1"/>
    <col min="12" max="1025" width="11.28515625" style="11" customWidth="1"/>
    <col min="1026" max="1026" width="11.42578125" style="11" customWidth="1"/>
    <col min="1027" max="16384" width="11.42578125" style="11"/>
  </cols>
  <sheetData>
    <row r="1" spans="1:3" ht="15.75" thickBot="1"/>
    <row r="2" spans="1:3">
      <c r="A2" s="344" t="s">
        <v>38</v>
      </c>
      <c r="B2" s="345"/>
      <c r="C2" s="346"/>
    </row>
    <row r="3" spans="1:3">
      <c r="A3" s="347" t="s">
        <v>189</v>
      </c>
      <c r="B3" s="348"/>
      <c r="C3" s="106">
        <f>+'ESTADO DE COSTOS'!B30</f>
        <v>177581</v>
      </c>
    </row>
    <row r="4" spans="1:3" ht="16.5" thickBot="1">
      <c r="A4" s="107" t="s">
        <v>190</v>
      </c>
      <c r="B4" s="108">
        <v>0.7</v>
      </c>
      <c r="C4" s="124">
        <f>+(C3*B4)+C3</f>
        <v>301887.7</v>
      </c>
    </row>
  </sheetData>
  <mergeCells count="2">
    <mergeCell ref="A2:C2"/>
    <mergeCell ref="A3:B3"/>
  </mergeCells>
  <pageMargins left="0.70000000000000007" right="0.70000000000000007" top="1.1437007874015752" bottom="1.1437007874015752" header="0.75000000000000011" footer="0.75000000000000011"/>
  <pageSetup fitToWidth="0" fitToHeight="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3"/>
  <sheetViews>
    <sheetView topLeftCell="A76" workbookViewId="0">
      <selection activeCell="A2" sqref="A2:D2"/>
    </sheetView>
  </sheetViews>
  <sheetFormatPr baseColWidth="10" defaultRowHeight="15"/>
  <cols>
    <col min="1" max="1" width="15.140625" customWidth="1"/>
    <col min="2" max="2" width="43.42578125" customWidth="1"/>
    <col min="3" max="3" width="15.5703125" style="15" customWidth="1"/>
    <col min="4" max="4" width="19.42578125" style="15" customWidth="1"/>
  </cols>
  <sheetData>
    <row r="1" spans="1:5" ht="15.75" thickBot="1"/>
    <row r="2" spans="1:5">
      <c r="A2" s="352" t="s">
        <v>70</v>
      </c>
      <c r="B2" s="353"/>
      <c r="C2" s="354"/>
      <c r="D2" s="355"/>
    </row>
    <row r="3" spans="1:5">
      <c r="A3" s="206" t="s">
        <v>175</v>
      </c>
      <c r="B3" s="207" t="s">
        <v>71</v>
      </c>
      <c r="C3" s="208" t="s">
        <v>48</v>
      </c>
      <c r="D3" s="209" t="s">
        <v>49</v>
      </c>
    </row>
    <row r="4" spans="1:5">
      <c r="A4" s="85">
        <v>1520</v>
      </c>
      <c r="B4" s="88" t="s">
        <v>176</v>
      </c>
      <c r="C4" s="16">
        <f>+D5</f>
        <v>655000</v>
      </c>
      <c r="D4" s="52"/>
    </row>
    <row r="5" spans="1:5" ht="15.75" thickBot="1">
      <c r="A5" s="86">
        <v>1110</v>
      </c>
      <c r="B5" s="89" t="s">
        <v>177</v>
      </c>
      <c r="C5" s="90"/>
      <c r="D5" s="91">
        <f>+'COMPRAS MES 1'!E20</f>
        <v>655000</v>
      </c>
      <c r="E5" s="143"/>
    </row>
    <row r="6" spans="1:5" ht="15.75" thickBot="1"/>
    <row r="7" spans="1:5">
      <c r="A7" s="349" t="s">
        <v>72</v>
      </c>
      <c r="B7" s="356"/>
      <c r="C7" s="350"/>
      <c r="D7" s="351"/>
    </row>
    <row r="8" spans="1:5">
      <c r="A8" s="206" t="s">
        <v>175</v>
      </c>
      <c r="B8" s="207" t="s">
        <v>71</v>
      </c>
      <c r="C8" s="208" t="s">
        <v>48</v>
      </c>
      <c r="D8" s="209" t="s">
        <v>49</v>
      </c>
    </row>
    <row r="9" spans="1:5">
      <c r="A9" s="85">
        <v>1528</v>
      </c>
      <c r="B9" s="88" t="s">
        <v>178</v>
      </c>
      <c r="C9" s="16">
        <f>+'COMPRAS MES 1'!E30</f>
        <v>1420000</v>
      </c>
      <c r="D9" s="52"/>
    </row>
    <row r="10" spans="1:5">
      <c r="A10" s="95">
        <v>1524</v>
      </c>
      <c r="B10" s="96" t="s">
        <v>179</v>
      </c>
      <c r="C10" s="109">
        <f>+'COMPRAS MES 1'!E34</f>
        <v>300000</v>
      </c>
      <c r="D10" s="102"/>
    </row>
    <row r="11" spans="1:5" ht="15.75" thickBot="1">
      <c r="A11" s="86">
        <v>1110</v>
      </c>
      <c r="B11" s="89" t="s">
        <v>177</v>
      </c>
      <c r="C11" s="90"/>
      <c r="D11" s="91">
        <f>+C9+C10</f>
        <v>1720000</v>
      </c>
    </row>
    <row r="12" spans="1:5" ht="15.75" thickBot="1"/>
    <row r="13" spans="1:5">
      <c r="A13" s="349" t="s">
        <v>75</v>
      </c>
      <c r="B13" s="356"/>
      <c r="C13" s="350"/>
      <c r="D13" s="351"/>
    </row>
    <row r="14" spans="1:5">
      <c r="A14" s="206" t="s">
        <v>175</v>
      </c>
      <c r="B14" s="207" t="s">
        <v>71</v>
      </c>
      <c r="C14" s="208" t="s">
        <v>48</v>
      </c>
      <c r="D14" s="209" t="s">
        <v>49</v>
      </c>
    </row>
    <row r="15" spans="1:5">
      <c r="A15" s="85">
        <v>140505</v>
      </c>
      <c r="B15" s="88" t="str">
        <f>+'COMPRAS MES 1'!B45</f>
        <v>Clavijas</v>
      </c>
      <c r="C15" s="16">
        <f>+'COMPRAS MES 1'!E45</f>
        <v>28000</v>
      </c>
      <c r="D15" s="52"/>
    </row>
    <row r="16" spans="1:5">
      <c r="A16" s="95">
        <v>140510</v>
      </c>
      <c r="B16" s="96" t="str">
        <f>'ESTADO DE COSTOS'!A9</f>
        <v>Cables electricos</v>
      </c>
      <c r="C16" s="16">
        <f>+'COMPRAS MES 1'!E40</f>
        <v>640000</v>
      </c>
      <c r="D16" s="102"/>
    </row>
    <row r="17" spans="1:4">
      <c r="A17" s="85">
        <v>140515</v>
      </c>
      <c r="B17" s="96" t="str">
        <f>'ESTADO DE COSTOS'!A11</f>
        <v>Cajas de conexión</v>
      </c>
      <c r="C17" s="16">
        <f>+'COMPRAS MES 1'!E41</f>
        <v>36000</v>
      </c>
      <c r="D17" s="102"/>
    </row>
    <row r="18" spans="1:4">
      <c r="A18" s="95">
        <v>140520</v>
      </c>
      <c r="B18" s="96" t="str">
        <f>'ESTADO DE COSTOS'!A12</f>
        <v>Porta lamparas</v>
      </c>
      <c r="C18" s="16">
        <f>+'COMPRAS MES 1'!E42</f>
        <v>104000</v>
      </c>
      <c r="D18" s="102"/>
    </row>
    <row r="19" spans="1:4">
      <c r="A19" s="85">
        <v>140525</v>
      </c>
      <c r="B19" s="96" t="str">
        <f>'ESTADO DE COSTOS'!A13</f>
        <v>Interruptores</v>
      </c>
      <c r="C19" s="16">
        <f>'ESTADO DE COSTOS'!B13</f>
        <v>52000</v>
      </c>
      <c r="D19" s="102"/>
    </row>
    <row r="20" spans="1:4">
      <c r="A20" s="85">
        <v>140530</v>
      </c>
      <c r="B20" s="96" t="str">
        <f>'ESTADO DE COSTOS'!A14</f>
        <v>Pulsadores</v>
      </c>
      <c r="C20" s="109">
        <f>'ESTADO DE COSTOS'!B14</f>
        <v>160000</v>
      </c>
      <c r="D20" s="102"/>
    </row>
    <row r="21" spans="1:4" ht="15.75" thickBot="1">
      <c r="A21" s="86">
        <v>1110</v>
      </c>
      <c r="B21" s="89" t="s">
        <v>177</v>
      </c>
      <c r="C21" s="90"/>
      <c r="D21" s="91">
        <f>+SUM(C15:C20)</f>
        <v>1020000</v>
      </c>
    </row>
    <row r="22" spans="1:4" ht="15.75" thickBot="1"/>
    <row r="23" spans="1:4">
      <c r="A23" s="349" t="s">
        <v>79</v>
      </c>
      <c r="B23" s="356"/>
      <c r="C23" s="350"/>
      <c r="D23" s="351"/>
    </row>
    <row r="24" spans="1:4">
      <c r="A24" s="206" t="s">
        <v>175</v>
      </c>
      <c r="B24" s="207" t="s">
        <v>71</v>
      </c>
      <c r="C24" s="208" t="s">
        <v>48</v>
      </c>
      <c r="D24" s="209" t="s">
        <v>49</v>
      </c>
    </row>
    <row r="25" spans="1:4">
      <c r="A25" s="85">
        <v>140505</v>
      </c>
      <c r="B25" s="88" t="str">
        <f>+'COMPRAS MES 1'!B45</f>
        <v>Clavijas</v>
      </c>
      <c r="C25" s="16"/>
      <c r="D25" s="52">
        <f>+'COMPRAS MES 1'!E45</f>
        <v>28000</v>
      </c>
    </row>
    <row r="26" spans="1:4">
      <c r="A26" s="95">
        <v>140510</v>
      </c>
      <c r="B26" s="96" t="str">
        <f>'ESTADO DE COSTOS'!A11</f>
        <v>Cajas de conexión</v>
      </c>
      <c r="C26" s="16"/>
      <c r="D26" s="52">
        <f>+'ESTADO DE COSTOS'!$B$6*'CLASIFICACIÓN DE COSTOS'!D5</f>
        <v>36000</v>
      </c>
    </row>
    <row r="27" spans="1:4">
      <c r="A27" s="85">
        <v>140515</v>
      </c>
      <c r="B27" s="96" t="str">
        <f>'ESTADO DE COSTOS'!A12</f>
        <v>Porta lamparas</v>
      </c>
      <c r="C27" s="16"/>
      <c r="D27" s="52">
        <f>+'ESTADO DE COSTOS'!$B$6*'CLASIFICACIÓN DE COSTOS'!D6</f>
        <v>104000</v>
      </c>
    </row>
    <row r="28" spans="1:4">
      <c r="A28" s="95">
        <v>140520</v>
      </c>
      <c r="B28" s="96" t="str">
        <f>'ESTADO DE COSTOS'!A13</f>
        <v>Interruptores</v>
      </c>
      <c r="C28" s="16"/>
      <c r="D28" s="52">
        <f>+'ESTADO DE COSTOS'!$B$6*'CLASIFICACIÓN DE COSTOS'!D7</f>
        <v>52000</v>
      </c>
    </row>
    <row r="29" spans="1:4">
      <c r="A29" s="85">
        <v>140525</v>
      </c>
      <c r="B29" s="96" t="str">
        <f>'ESTADO DE COSTOS'!A14</f>
        <v>Pulsadores</v>
      </c>
      <c r="C29" s="16"/>
      <c r="D29" s="52">
        <f>+'ESTADO DE COSTOS'!$B$6*'CLASIFICACIÓN DE COSTOS'!D8</f>
        <v>160000</v>
      </c>
    </row>
    <row r="30" spans="1:4">
      <c r="A30" s="95">
        <v>140530</v>
      </c>
      <c r="B30" s="96" t="str">
        <f>'ESTADO DE COSTOS'!A9</f>
        <v>Cables electricos</v>
      </c>
      <c r="C30" s="109"/>
      <c r="D30" s="102">
        <f>'ESTADO DE COSTOS'!B9</f>
        <v>640000</v>
      </c>
    </row>
    <row r="31" spans="1:4" ht="15.75" thickBot="1">
      <c r="A31" s="86">
        <v>1410</v>
      </c>
      <c r="B31" s="89" t="s">
        <v>202</v>
      </c>
      <c r="C31" s="90">
        <f>+SUM(D25:D30)</f>
        <v>1020000</v>
      </c>
      <c r="D31" s="91"/>
    </row>
    <row r="32" spans="1:4" ht="15.75" thickBot="1"/>
    <row r="33" spans="1:4">
      <c r="A33" s="349" t="s">
        <v>87</v>
      </c>
      <c r="B33" s="350"/>
      <c r="C33" s="350"/>
      <c r="D33" s="351"/>
    </row>
    <row r="34" spans="1:4">
      <c r="A34" s="206" t="s">
        <v>175</v>
      </c>
      <c r="B34" s="210" t="s">
        <v>71</v>
      </c>
      <c r="C34" s="208" t="s">
        <v>48</v>
      </c>
      <c r="D34" s="209" t="s">
        <v>49</v>
      </c>
    </row>
    <row r="35" spans="1:4">
      <c r="A35" s="85">
        <v>233505</v>
      </c>
      <c r="B35" s="12" t="s">
        <v>180</v>
      </c>
      <c r="C35" s="16"/>
      <c r="D35" s="52">
        <f>+'ESTADO DE COSTOS'!B21</f>
        <v>400000</v>
      </c>
    </row>
    <row r="36" spans="1:4" ht="15.75" thickBot="1">
      <c r="A36" s="86">
        <v>1410</v>
      </c>
      <c r="B36" s="87" t="s">
        <v>202</v>
      </c>
      <c r="C36" s="90">
        <f>+D35</f>
        <v>400000</v>
      </c>
      <c r="D36" s="91"/>
    </row>
    <row r="37" spans="1:4" ht="15.75" thickBot="1"/>
    <row r="38" spans="1:4">
      <c r="A38" s="349" t="s">
        <v>89</v>
      </c>
      <c r="B38" s="350"/>
      <c r="C38" s="350"/>
      <c r="D38" s="351"/>
    </row>
    <row r="39" spans="1:4">
      <c r="A39" s="206" t="s">
        <v>175</v>
      </c>
      <c r="B39" s="210" t="s">
        <v>71</v>
      </c>
      <c r="C39" s="208" t="s">
        <v>48</v>
      </c>
      <c r="D39" s="209" t="s">
        <v>49</v>
      </c>
    </row>
    <row r="40" spans="1:4">
      <c r="A40" s="85">
        <v>23359501</v>
      </c>
      <c r="B40" s="12" t="s">
        <v>181</v>
      </c>
      <c r="C40" s="16"/>
      <c r="D40" s="52">
        <f>+'ESTADO DE COSTOS'!B27</f>
        <v>648</v>
      </c>
    </row>
    <row r="41" spans="1:4" ht="15.75" thickBot="1">
      <c r="A41" s="86">
        <v>1410</v>
      </c>
      <c r="B41" s="87" t="s">
        <v>202</v>
      </c>
      <c r="C41" s="90">
        <f>+D40</f>
        <v>648</v>
      </c>
      <c r="D41" s="91"/>
    </row>
    <row r="42" spans="1:4" ht="15.75" thickBot="1"/>
    <row r="43" spans="1:4">
      <c r="A43" s="349" t="s">
        <v>86</v>
      </c>
      <c r="B43" s="350"/>
      <c r="C43" s="350"/>
      <c r="D43" s="351"/>
    </row>
    <row r="44" spans="1:4">
      <c r="A44" s="206" t="s">
        <v>175</v>
      </c>
      <c r="B44" s="210" t="s">
        <v>71</v>
      </c>
      <c r="C44" s="208" t="s">
        <v>48</v>
      </c>
      <c r="D44" s="209" t="s">
        <v>49</v>
      </c>
    </row>
    <row r="45" spans="1:4">
      <c r="A45" s="85">
        <v>1410</v>
      </c>
      <c r="B45" s="12" t="s">
        <v>202</v>
      </c>
      <c r="C45" s="16"/>
      <c r="D45" s="52">
        <f>+'ESTADO DE COSTOS'!B29</f>
        <v>1420648</v>
      </c>
    </row>
    <row r="46" spans="1:4" ht="15.75" thickBot="1">
      <c r="A46" s="86">
        <v>1430</v>
      </c>
      <c r="B46" s="87" t="s">
        <v>182</v>
      </c>
      <c r="C46" s="90">
        <f>+D45</f>
        <v>1420648</v>
      </c>
      <c r="D46" s="91"/>
    </row>
    <row r="47" spans="1:4" ht="15.75" thickBot="1"/>
    <row r="48" spans="1:4">
      <c r="A48" s="349" t="s">
        <v>205</v>
      </c>
      <c r="B48" s="350"/>
      <c r="C48" s="350"/>
      <c r="D48" s="351"/>
    </row>
    <row r="49" spans="1:4">
      <c r="A49" s="206" t="s">
        <v>175</v>
      </c>
      <c r="B49" s="210" t="s">
        <v>71</v>
      </c>
      <c r="C49" s="208" t="s">
        <v>48</v>
      </c>
      <c r="D49" s="209" t="s">
        <v>49</v>
      </c>
    </row>
    <row r="50" spans="1:4">
      <c r="A50" s="85">
        <v>4135</v>
      </c>
      <c r="B50" s="12" t="s">
        <v>187</v>
      </c>
      <c r="C50" s="16"/>
      <c r="D50" s="52">
        <f>+'PRECIO DE VENTA'!C4*'ESTADO DE COSTOS'!B6</f>
        <v>2415101.6</v>
      </c>
    </row>
    <row r="51" spans="1:4">
      <c r="A51" s="85">
        <v>1105</v>
      </c>
      <c r="B51" s="12" t="s">
        <v>183</v>
      </c>
      <c r="C51" s="16">
        <f>+D50</f>
        <v>2415101.6</v>
      </c>
      <c r="D51" s="52"/>
    </row>
    <row r="52" spans="1:4">
      <c r="A52" s="85">
        <v>71</v>
      </c>
      <c r="B52" s="12" t="s">
        <v>184</v>
      </c>
      <c r="C52" s="16">
        <f>+'ESTADO DE COSTOS'!B15</f>
        <v>1020000</v>
      </c>
      <c r="D52" s="52"/>
    </row>
    <row r="53" spans="1:4">
      <c r="A53" s="85">
        <v>72</v>
      </c>
      <c r="B53" s="12" t="s">
        <v>185</v>
      </c>
      <c r="C53" s="16">
        <f>+'ESTADO DE COSTOS'!B21</f>
        <v>400000</v>
      </c>
      <c r="D53" s="52"/>
    </row>
    <row r="54" spans="1:4">
      <c r="A54" s="85">
        <v>73</v>
      </c>
      <c r="B54" s="12" t="s">
        <v>181</v>
      </c>
      <c r="C54" s="16">
        <f>+'ESTADO DE COSTOS'!B27</f>
        <v>648</v>
      </c>
      <c r="D54" s="52"/>
    </row>
    <row r="55" spans="1:4" ht="15.75" thickBot="1">
      <c r="A55" s="86">
        <v>1430</v>
      </c>
      <c r="B55" s="87" t="s">
        <v>186</v>
      </c>
      <c r="C55" s="90"/>
      <c r="D55" s="91">
        <f>+'CUENTAS T MES 1'!K40</f>
        <v>1420648</v>
      </c>
    </row>
    <row r="56" spans="1:4" ht="15.75" thickBot="1"/>
    <row r="57" spans="1:4">
      <c r="A57" s="349" t="s">
        <v>94</v>
      </c>
      <c r="B57" s="350"/>
      <c r="C57" s="350"/>
      <c r="D57" s="351"/>
    </row>
    <row r="58" spans="1:4">
      <c r="A58" s="206" t="s">
        <v>175</v>
      </c>
      <c r="B58" s="210" t="s">
        <v>71</v>
      </c>
      <c r="C58" s="208" t="s">
        <v>48</v>
      </c>
      <c r="D58" s="209" t="s">
        <v>49</v>
      </c>
    </row>
    <row r="59" spans="1:4">
      <c r="A59" s="85">
        <v>51</v>
      </c>
      <c r="B59" s="12" t="s">
        <v>191</v>
      </c>
      <c r="C59" s="16">
        <f>+GASTOS!C16</f>
        <v>95458.333333333328</v>
      </c>
      <c r="D59" s="52"/>
    </row>
    <row r="60" spans="1:4">
      <c r="A60" s="85">
        <v>52</v>
      </c>
      <c r="B60" s="12" t="s">
        <v>192</v>
      </c>
      <c r="C60" s="16">
        <f>+GASTOS!C8</f>
        <v>205458.33333333334</v>
      </c>
      <c r="D60" s="52"/>
    </row>
    <row r="61" spans="1:4" ht="15.75" thickBot="1">
      <c r="A61" s="86">
        <v>1105</v>
      </c>
      <c r="B61" s="87" t="s">
        <v>183</v>
      </c>
      <c r="C61" s="90"/>
      <c r="D61" s="91">
        <f>+C60+C59</f>
        <v>300916.66666666669</v>
      </c>
    </row>
    <row r="62" spans="1:4" ht="15.75" thickBot="1"/>
    <row r="63" spans="1:4">
      <c r="A63" s="349" t="s">
        <v>93</v>
      </c>
      <c r="B63" s="350"/>
      <c r="C63" s="350"/>
      <c r="D63" s="351"/>
    </row>
    <row r="64" spans="1:4">
      <c r="A64" s="206" t="s">
        <v>175</v>
      </c>
      <c r="B64" s="210" t="s">
        <v>71</v>
      </c>
      <c r="C64" s="208" t="s">
        <v>48</v>
      </c>
      <c r="D64" s="209" t="s">
        <v>49</v>
      </c>
    </row>
    <row r="65" spans="1:4">
      <c r="A65" s="85">
        <v>233525</v>
      </c>
      <c r="B65" s="12" t="s">
        <v>180</v>
      </c>
      <c r="C65" s="16">
        <f>+'CUENTAS T MES 1'!C40</f>
        <v>400000</v>
      </c>
      <c r="D65" s="52"/>
    </row>
    <row r="66" spans="1:4">
      <c r="A66" s="85">
        <v>23359501</v>
      </c>
      <c r="B66" s="12" t="s">
        <v>181</v>
      </c>
      <c r="C66" s="16">
        <f>+'CUENTAS T MES 1'!F40</f>
        <v>648</v>
      </c>
      <c r="D66" s="52"/>
    </row>
    <row r="67" spans="1:4" ht="15.75" thickBot="1">
      <c r="A67" s="86">
        <v>1105</v>
      </c>
      <c r="B67" s="87" t="s">
        <v>183</v>
      </c>
      <c r="C67" s="90"/>
      <c r="D67" s="91">
        <f>+C66+C65</f>
        <v>400648</v>
      </c>
    </row>
    <row r="68" spans="1:4" ht="15.75" thickBot="1"/>
    <row r="69" spans="1:4">
      <c r="A69" s="349" t="s">
        <v>26</v>
      </c>
      <c r="B69" s="350"/>
      <c r="C69" s="350"/>
      <c r="D69" s="351"/>
    </row>
    <row r="70" spans="1:4">
      <c r="A70" s="206" t="s">
        <v>175</v>
      </c>
      <c r="B70" s="210" t="s">
        <v>71</v>
      </c>
      <c r="C70" s="208" t="s">
        <v>48</v>
      </c>
      <c r="D70" s="209" t="s">
        <v>49</v>
      </c>
    </row>
    <row r="71" spans="1:4">
      <c r="A71" s="85">
        <v>1592</v>
      </c>
      <c r="B71" s="12" t="s">
        <v>193</v>
      </c>
      <c r="C71" s="16"/>
      <c r="D71" s="52">
        <f>+DEPRECIACIONES!H24</f>
        <v>10916.666666666664</v>
      </c>
    </row>
    <row r="72" spans="1:4">
      <c r="A72" s="85">
        <v>5160</v>
      </c>
      <c r="B72" s="12" t="s">
        <v>195</v>
      </c>
      <c r="C72" s="16">
        <f>+D71/2</f>
        <v>5458.3333333333321</v>
      </c>
      <c r="D72" s="52"/>
    </row>
    <row r="73" spans="1:4" ht="15.75" thickBot="1">
      <c r="A73" s="86">
        <v>5260</v>
      </c>
      <c r="B73" s="87" t="s">
        <v>194</v>
      </c>
      <c r="C73" s="91">
        <f>+D71/2</f>
        <v>5458.3333333333321</v>
      </c>
      <c r="D73" s="110"/>
    </row>
  </sheetData>
  <mergeCells count="11">
    <mergeCell ref="A69:D69"/>
    <mergeCell ref="A48:D48"/>
    <mergeCell ref="A57:D57"/>
    <mergeCell ref="A63:D63"/>
    <mergeCell ref="A2:D2"/>
    <mergeCell ref="A7:D7"/>
    <mergeCell ref="A13:D13"/>
    <mergeCell ref="A23:D23"/>
    <mergeCell ref="A43:D43"/>
    <mergeCell ref="A33:D33"/>
    <mergeCell ref="A38:D38"/>
  </mergeCells>
  <pageMargins left="0.7" right="0.7" top="0.75" bottom="0.75" header="0.3" footer="0.3"/>
  <ignoredErrors>
    <ignoredError sqref="C46 D50 C51:C52 D5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APORTES DE CAPITAL</vt:lpstr>
      <vt:lpstr>BALANCE INICIAL</vt:lpstr>
      <vt:lpstr>CLASIFICACIÓN DE COSTOS</vt:lpstr>
      <vt:lpstr>COMPRAS MES 1</vt:lpstr>
      <vt:lpstr>DEPRECIACIONES</vt:lpstr>
      <vt:lpstr>GASTOS</vt:lpstr>
      <vt:lpstr>ESTADO DE COSTOS</vt:lpstr>
      <vt:lpstr>PRECIO DE VENTA</vt:lpstr>
      <vt:lpstr>CAUSACION MES 1</vt:lpstr>
      <vt:lpstr>CUENTAS T MES 1</vt:lpstr>
      <vt:lpstr>COSTOS FIJOS Y VARIABLES</vt:lpstr>
      <vt:lpstr>PUNTO DE EQUILIBRIO</vt:lpstr>
      <vt:lpstr>BALANCE GENERAL</vt:lpstr>
      <vt:lpstr>ESTADO DE RESULTADOS</vt:lpstr>
      <vt:lpstr>MARGEN DE CONTRIBUCIÓN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Kmilo Zapata</cp:lastModifiedBy>
  <cp:revision>2</cp:revision>
  <dcterms:created xsi:type="dcterms:W3CDTF">2014-05-08T18:41:54Z</dcterms:created>
  <dcterms:modified xsi:type="dcterms:W3CDTF">2015-10-21T17:36:17Z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